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RAJ" sheetId="1" r:id="rId1"/>
    <sheet name="TVM" sheetId="2" r:id="rId2"/>
    <sheet name="VB" sheetId="3" r:id="rId3"/>
    <sheet name="INDIVIDUEL" sheetId="4" r:id="rId4"/>
    <sheet name="GROUPE" sheetId="5" r:id="rId5"/>
    <sheet name="QUANTITE" sheetId="6" r:id="rId6"/>
  </sheets>
  <definedNames/>
  <calcPr fullCalcOnLoad="1"/>
</workbook>
</file>

<file path=xl/sharedStrings.xml><?xml version="1.0" encoding="utf-8"?>
<sst xmlns="http://schemas.openxmlformats.org/spreadsheetml/2006/main" count="473" uniqueCount="96">
  <si>
    <t>Dénomination</t>
  </si>
  <si>
    <t>Petit Déjeuner</t>
  </si>
  <si>
    <t>Vivres de course</t>
  </si>
  <si>
    <t>Chocolat blanc</t>
  </si>
  <si>
    <t>Sucre vanilliné</t>
  </si>
  <si>
    <t>MGLA</t>
  </si>
  <si>
    <t>Extran (2 L)</t>
  </si>
  <si>
    <t>Sucre Roux</t>
  </si>
  <si>
    <t xml:space="preserve">Chocolat au lait </t>
  </si>
  <si>
    <t>PRALINE CHOCO</t>
  </si>
  <si>
    <t>Parmesan</t>
  </si>
  <si>
    <t>Soupe lyophilisée</t>
  </si>
  <si>
    <t>Souper</t>
  </si>
  <si>
    <t>Céréales Kellog's Extra fruit</t>
  </si>
  <si>
    <t>Mélange oléagineux</t>
  </si>
  <si>
    <t>Thé / Tisane</t>
  </si>
  <si>
    <t>Capuccino</t>
  </si>
  <si>
    <t>Sucre en morceaux</t>
  </si>
  <si>
    <t>Raisins secs</t>
  </si>
  <si>
    <t xml:space="preserve">Hachis blanc de poulet </t>
  </si>
  <si>
    <t>Purée en flocon</t>
  </si>
  <si>
    <t xml:space="preserve">Chicon </t>
  </si>
  <si>
    <t>POULET CHICON</t>
  </si>
  <si>
    <t xml:space="preserve">Semoule de blé dur </t>
  </si>
  <si>
    <t>Légumes mixtes</t>
  </si>
  <si>
    <t>POULET COUSCOUS</t>
  </si>
  <si>
    <t>Pâtes grecques</t>
  </si>
  <si>
    <t>Brocoli</t>
  </si>
  <si>
    <t>POULET BROCOLI PÂTES</t>
  </si>
  <si>
    <t>Filets de perche du Nil</t>
  </si>
  <si>
    <t>Epinard hachés</t>
  </si>
  <si>
    <t>HACHIS POULET CAROTTE</t>
  </si>
  <si>
    <t>BLOC DEJEUNER</t>
  </si>
  <si>
    <t>Fromage</t>
  </si>
  <si>
    <t>Saucisson</t>
  </si>
  <si>
    <t>Confiture</t>
  </si>
  <si>
    <t>Glu    (gr)</t>
  </si>
  <si>
    <t>Carotte</t>
  </si>
  <si>
    <t>Parovita (2)</t>
  </si>
  <si>
    <t>Parovita (5)</t>
  </si>
  <si>
    <t>Gr</t>
  </si>
  <si>
    <t>Kcal</t>
  </si>
  <si>
    <t>Rap.</t>
  </si>
  <si>
    <t>BOISSON         +               DIVERS</t>
  </si>
  <si>
    <t>BOISSON           +                DIVERS</t>
  </si>
  <si>
    <t>Qu. (gr)</t>
  </si>
  <si>
    <t>Parovita (Nbre paquets de 9)</t>
  </si>
  <si>
    <t>Soupe (Nbre sachets)</t>
  </si>
  <si>
    <t>Thé / Tisane (Nbre sachets)</t>
  </si>
  <si>
    <t>Lait en poudre Gloria</t>
  </si>
  <si>
    <t>POTEE AUX POREAUX</t>
  </si>
  <si>
    <t>CHOP CHOY DE PORC</t>
  </si>
  <si>
    <t>Lardon</t>
  </si>
  <si>
    <t>Poreaux</t>
  </si>
  <si>
    <t>Concentré de tomate</t>
  </si>
  <si>
    <t>PRALINE NEUTRE</t>
  </si>
  <si>
    <t>Hachis de porc</t>
  </si>
  <si>
    <t>PERCHE EPINARD PÂTES</t>
  </si>
  <si>
    <t>NOM</t>
  </si>
  <si>
    <t>PRIX</t>
  </si>
  <si>
    <t>QUANTITE TOTALE</t>
  </si>
  <si>
    <t>PRIX PAR PERSONNE</t>
  </si>
  <si>
    <t>Par Personne =</t>
  </si>
  <si>
    <t>PRIX ET QUANTITE PAR PERSONNE</t>
  </si>
  <si>
    <t>Lip           (gr)</t>
  </si>
  <si>
    <t>Prot          (gr)</t>
  </si>
  <si>
    <t>Cal         Kcal</t>
  </si>
  <si>
    <t>PERCHE EPINARD PUREE</t>
  </si>
  <si>
    <t>BASE Ration Alimentaire Journalière</t>
  </si>
  <si>
    <t>Nbre</t>
  </si>
  <si>
    <t>GROUPE</t>
  </si>
  <si>
    <t>QUANTITE (Grs, Non-cuit)</t>
  </si>
  <si>
    <t>TOTAL</t>
  </si>
  <si>
    <t>REPARTITION</t>
  </si>
  <si>
    <t>Déjeuner</t>
  </si>
  <si>
    <t>Vivres de courses</t>
  </si>
  <si>
    <t>% + Rapport</t>
  </si>
  <si>
    <t>INDIVIDUEL Ration Alimentaire Journalière</t>
  </si>
  <si>
    <t>Capuccino (Nbre sachets)</t>
  </si>
  <si>
    <t>Ration Alimentaire Journalière TVM</t>
  </si>
  <si>
    <t>Ration Alimentaire Journalière VB</t>
  </si>
  <si>
    <t>TVM + VB</t>
  </si>
  <si>
    <t>Donné</t>
  </si>
  <si>
    <t>Total</t>
  </si>
  <si>
    <t>Riz</t>
  </si>
  <si>
    <t>GLACE CARBONIQUE MISE SOUS-VIDE</t>
  </si>
  <si>
    <t>TOT</t>
  </si>
  <si>
    <t>Thierry</t>
  </si>
  <si>
    <t>Véronique</t>
  </si>
  <si>
    <t>Olivier</t>
  </si>
  <si>
    <t>Anne</t>
  </si>
  <si>
    <t>Jacques</t>
  </si>
  <si>
    <t>Martine</t>
  </si>
  <si>
    <t>Christian</t>
  </si>
  <si>
    <t>Emile</t>
  </si>
  <si>
    <t>Bérangère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</si>
</sst>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#,##0.00\ &quot;F&quot;"/>
    <numFmt numFmtId="182" formatCode="0.0"/>
    <numFmt numFmtId="183" formatCode="#,##0.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2" fontId="3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182" fontId="6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/>
    </xf>
    <xf numFmtId="182" fontId="7" fillId="2" borderId="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2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2" fontId="3" fillId="0" borderId="3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182" fontId="3" fillId="0" borderId="31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182" fontId="0" fillId="0" borderId="3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182" fontId="0" fillId="0" borderId="2" xfId="0" applyNumberFormat="1" applyFont="1" applyBorder="1" applyAlignment="1">
      <alignment horizontal="center" vertical="center" wrapText="1"/>
    </xf>
    <xf numFmtId="182" fontId="0" fillId="0" borderId="3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2" fontId="0" fillId="0" borderId="4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10" zoomScaleNormal="110" workbookViewId="0" topLeftCell="A47">
      <selection activeCell="A77" sqref="A1:J77"/>
    </sheetView>
  </sheetViews>
  <sheetFormatPr defaultColWidth="11.421875" defaultRowHeight="12.75"/>
  <cols>
    <col min="1" max="1" width="10.7109375" style="28" customWidth="1"/>
    <col min="2" max="2" width="25.7109375" style="1" customWidth="1"/>
    <col min="3" max="7" width="8.7109375" style="1" customWidth="1"/>
    <col min="8" max="10" width="5.7109375" style="3" customWidth="1"/>
    <col min="11" max="16384" width="11.421875" style="1" customWidth="1"/>
  </cols>
  <sheetData>
    <row r="1" spans="1:10" ht="15" customHeight="1" thickBot="1">
      <c r="A1" s="81" t="s">
        <v>68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s="2" customFormat="1" ht="15" customHeight="1" thickBot="1">
      <c r="A2" s="102" t="s">
        <v>0</v>
      </c>
      <c r="B2" s="103"/>
      <c r="C2" s="76" t="s">
        <v>45</v>
      </c>
      <c r="D2" s="76" t="s">
        <v>36</v>
      </c>
      <c r="E2" s="76" t="s">
        <v>64</v>
      </c>
      <c r="F2" s="76" t="s">
        <v>65</v>
      </c>
      <c r="G2" s="76" t="s">
        <v>66</v>
      </c>
      <c r="H2" s="76" t="s">
        <v>40</v>
      </c>
      <c r="I2" s="76" t="s">
        <v>41</v>
      </c>
      <c r="J2" s="76" t="s">
        <v>42</v>
      </c>
    </row>
    <row r="3" spans="1:10" ht="15" customHeight="1" thickBot="1">
      <c r="A3" s="101"/>
      <c r="B3" s="101"/>
      <c r="C3" s="77"/>
      <c r="D3" s="77"/>
      <c r="E3" s="77"/>
      <c r="F3" s="77"/>
      <c r="G3" s="77"/>
      <c r="H3" s="78"/>
      <c r="I3" s="78"/>
      <c r="J3" s="78"/>
    </row>
    <row r="4" spans="1:10" ht="4.5" customHeight="1" thickBot="1">
      <c r="A4" s="101"/>
      <c r="B4" s="101"/>
      <c r="C4" s="101"/>
      <c r="D4" s="101"/>
      <c r="E4" s="101"/>
      <c r="F4" s="101"/>
      <c r="G4" s="101"/>
      <c r="H4" s="80"/>
      <c r="I4" s="80"/>
      <c r="J4" s="80"/>
    </row>
    <row r="5" spans="1:10" ht="15" customHeight="1" thickBot="1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3"/>
    </row>
    <row r="6" spans="1:11" ht="12" customHeight="1">
      <c r="A6" s="68" t="s">
        <v>32</v>
      </c>
      <c r="B6" s="29" t="s">
        <v>13</v>
      </c>
      <c r="C6" s="4">
        <v>60</v>
      </c>
      <c r="D6" s="6">
        <f>(58*C6)/100</f>
        <v>34.8</v>
      </c>
      <c r="E6" s="6">
        <f>(2*C6)/10</f>
        <v>12</v>
      </c>
      <c r="F6" s="6">
        <f>(693*C6)/10000</f>
        <v>4.158</v>
      </c>
      <c r="G6" s="6">
        <f>(44*C6)/10</f>
        <v>264</v>
      </c>
      <c r="H6" s="95">
        <f>SUM(C6:C11)</f>
        <v>160</v>
      </c>
      <c r="I6" s="119">
        <f>SUM(G6:G11)</f>
        <v>819.316</v>
      </c>
      <c r="J6" s="92">
        <f>I6/H6</f>
        <v>5.120725</v>
      </c>
      <c r="K6" s="7"/>
    </row>
    <row r="7" spans="1:11" ht="12" customHeight="1">
      <c r="A7" s="68"/>
      <c r="B7" s="29" t="s">
        <v>3</v>
      </c>
      <c r="C7" s="4">
        <v>20</v>
      </c>
      <c r="D7" s="6">
        <f>(5433*C7)/10000</f>
        <v>10.866</v>
      </c>
      <c r="E7" s="6">
        <f>(3433*C7)/10000</f>
        <v>6.866</v>
      </c>
      <c r="F7" s="6">
        <f>(767*C7)/10000</f>
        <v>1.534</v>
      </c>
      <c r="G7" s="6">
        <f>(55667*C7)/10000</f>
        <v>111.334</v>
      </c>
      <c r="H7" s="95"/>
      <c r="I7" s="98"/>
      <c r="J7" s="92"/>
      <c r="K7" s="7"/>
    </row>
    <row r="8" spans="1:11" ht="12" customHeight="1">
      <c r="A8" s="68"/>
      <c r="B8" s="29" t="s">
        <v>49</v>
      </c>
      <c r="C8" s="4">
        <v>15</v>
      </c>
      <c r="D8" s="6">
        <f>(519*C8)/1000</f>
        <v>7.785</v>
      </c>
      <c r="E8" s="6">
        <f>(1*C8)/100</f>
        <v>0.15</v>
      </c>
      <c r="F8" s="6">
        <f>(353*C8)/1000</f>
        <v>5.295</v>
      </c>
      <c r="G8" s="6">
        <f>(358*C8)/100</f>
        <v>53.7</v>
      </c>
      <c r="H8" s="95"/>
      <c r="I8" s="98"/>
      <c r="J8" s="92"/>
      <c r="K8" s="7"/>
    </row>
    <row r="9" spans="1:10" ht="12" customHeight="1">
      <c r="A9" s="68"/>
      <c r="B9" s="29" t="s">
        <v>4</v>
      </c>
      <c r="C9" s="4">
        <v>15</v>
      </c>
      <c r="D9" s="6">
        <f>(975*C9)/1000</f>
        <v>14.625</v>
      </c>
      <c r="E9" s="6">
        <v>0</v>
      </c>
      <c r="F9" s="6">
        <v>0</v>
      </c>
      <c r="G9" s="6">
        <f>(39188*C9)/10000</f>
        <v>58.782</v>
      </c>
      <c r="H9" s="95"/>
      <c r="I9" s="98"/>
      <c r="J9" s="92"/>
    </row>
    <row r="10" spans="1:10" ht="12" customHeight="1">
      <c r="A10" s="68"/>
      <c r="B10" s="29" t="s">
        <v>18</v>
      </c>
      <c r="C10" s="4">
        <v>20</v>
      </c>
      <c r="D10" s="6">
        <f>(75*C10)/100</f>
        <v>15</v>
      </c>
      <c r="E10" s="6">
        <v>0</v>
      </c>
      <c r="F10" s="6">
        <f>(2*C10)/100</f>
        <v>0.4</v>
      </c>
      <c r="G10" s="6">
        <f>(3075*C10)/1000</f>
        <v>61.5</v>
      </c>
      <c r="H10" s="95"/>
      <c r="I10" s="98"/>
      <c r="J10" s="92"/>
    </row>
    <row r="11" spans="1:10" ht="12" customHeight="1" thickBot="1">
      <c r="A11" s="107"/>
      <c r="B11" s="30" t="s">
        <v>5</v>
      </c>
      <c r="C11" s="8">
        <v>30</v>
      </c>
      <c r="D11" s="12">
        <v>0</v>
      </c>
      <c r="E11" s="12">
        <f>C11</f>
        <v>30</v>
      </c>
      <c r="F11" s="12">
        <v>0</v>
      </c>
      <c r="G11" s="12">
        <f>9*C11</f>
        <v>270</v>
      </c>
      <c r="H11" s="96"/>
      <c r="I11" s="99"/>
      <c r="J11" s="93"/>
    </row>
    <row r="12" spans="1:10" ht="12" customHeight="1">
      <c r="A12" s="67" t="s">
        <v>44</v>
      </c>
      <c r="B12" s="31" t="s">
        <v>35</v>
      </c>
      <c r="C12" s="6">
        <v>30</v>
      </c>
      <c r="D12" s="6">
        <f>(635*C12)/1000</f>
        <v>19.05</v>
      </c>
      <c r="E12" s="6">
        <f>(17*C12)/10000</f>
        <v>0.051</v>
      </c>
      <c r="F12" s="6">
        <f>(33*C12)/10000</f>
        <v>0.099</v>
      </c>
      <c r="G12" s="6">
        <f>(253*C12)/100</f>
        <v>75.9</v>
      </c>
      <c r="H12" s="109"/>
      <c r="I12" s="110"/>
      <c r="J12" s="110"/>
    </row>
    <row r="13" spans="1:10" ht="12" customHeight="1">
      <c r="A13" s="68"/>
      <c r="B13" s="31" t="s">
        <v>38</v>
      </c>
      <c r="C13" s="6">
        <v>24.4</v>
      </c>
      <c r="D13" s="6">
        <f>(7*C13)/10</f>
        <v>17.08</v>
      </c>
      <c r="E13" s="6">
        <f>(13*C13)/100</f>
        <v>3.1719999999999997</v>
      </c>
      <c r="F13" s="6">
        <f>(1*C13)/10</f>
        <v>2.44</v>
      </c>
      <c r="G13" s="6">
        <f>(435*C13)/100</f>
        <v>106.14</v>
      </c>
      <c r="H13" s="109"/>
      <c r="I13" s="110"/>
      <c r="J13" s="110"/>
    </row>
    <row r="14" spans="1:10" ht="12" customHeight="1" thickBot="1">
      <c r="A14" s="76"/>
      <c r="B14" s="34" t="s">
        <v>15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109"/>
      <c r="I14" s="111"/>
      <c r="J14" s="111"/>
    </row>
    <row r="15" spans="1:11" ht="4.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4"/>
      <c r="K15" s="10"/>
    </row>
    <row r="16" spans="1:11" ht="15" customHeight="1" thickBot="1">
      <c r="A16" s="81" t="s">
        <v>2</v>
      </c>
      <c r="B16" s="82"/>
      <c r="C16" s="82"/>
      <c r="D16" s="82"/>
      <c r="E16" s="82"/>
      <c r="F16" s="82"/>
      <c r="G16" s="82"/>
      <c r="H16" s="82"/>
      <c r="I16" s="82"/>
      <c r="J16" s="83"/>
      <c r="K16" s="10"/>
    </row>
    <row r="17" spans="1:10" ht="12" customHeight="1" thickBot="1">
      <c r="A17" s="107" t="s">
        <v>9</v>
      </c>
      <c r="B17" s="29" t="s">
        <v>8</v>
      </c>
      <c r="C17" s="6">
        <v>60</v>
      </c>
      <c r="D17" s="6">
        <f>(536*C17)/1000</f>
        <v>32.16</v>
      </c>
      <c r="E17" s="6">
        <f>(3*C17)/10</f>
        <v>18</v>
      </c>
      <c r="F17" s="6">
        <f>(8*C17)/100</f>
        <v>4.8</v>
      </c>
      <c r="G17" s="6">
        <f>(516*C17)/100</f>
        <v>309.6</v>
      </c>
      <c r="H17" s="115">
        <f>SUM(C17:C22)</f>
        <v>160</v>
      </c>
      <c r="I17" s="115">
        <f>SUM(G17:G22)</f>
        <v>884.1500000000001</v>
      </c>
      <c r="J17" s="92">
        <f>I17/H17</f>
        <v>5.5259375</v>
      </c>
    </row>
    <row r="18" spans="1:10" ht="12" customHeight="1" thickBot="1">
      <c r="A18" s="79"/>
      <c r="B18" s="29" t="s">
        <v>13</v>
      </c>
      <c r="C18" s="6">
        <v>25</v>
      </c>
      <c r="D18" s="6">
        <f>(58*C18)/100</f>
        <v>14.5</v>
      </c>
      <c r="E18" s="6">
        <f>(2*C18)/10</f>
        <v>5</v>
      </c>
      <c r="F18" s="6">
        <f>(7*C18)/100</f>
        <v>1.75</v>
      </c>
      <c r="G18" s="6">
        <f>(44*C18)/10</f>
        <v>110</v>
      </c>
      <c r="H18" s="95"/>
      <c r="I18" s="95"/>
      <c r="J18" s="92"/>
    </row>
    <row r="19" spans="1:10" ht="12" customHeight="1" thickBot="1">
      <c r="A19" s="79"/>
      <c r="B19" s="29" t="s">
        <v>14</v>
      </c>
      <c r="C19" s="6">
        <v>15</v>
      </c>
      <c r="D19" s="6">
        <f>(8*C19)/100</f>
        <v>1.2</v>
      </c>
      <c r="E19" s="6">
        <f>(535*C19)/1000</f>
        <v>8.025</v>
      </c>
      <c r="F19" s="6">
        <f>(15*C19)/100</f>
        <v>2.25</v>
      </c>
      <c r="G19" s="6">
        <f>(579*C19)/100</f>
        <v>86.85</v>
      </c>
      <c r="H19" s="95"/>
      <c r="I19" s="95"/>
      <c r="J19" s="92"/>
    </row>
    <row r="20" spans="1:10" ht="12" customHeight="1" thickBot="1">
      <c r="A20" s="79"/>
      <c r="B20" s="29" t="s">
        <v>49</v>
      </c>
      <c r="C20" s="4">
        <v>15</v>
      </c>
      <c r="D20" s="6">
        <f>(519*C20)/1000</f>
        <v>7.785</v>
      </c>
      <c r="E20" s="6">
        <f>(1*C20)/100</f>
        <v>0.15</v>
      </c>
      <c r="F20" s="6">
        <f>(353*C20)/1000</f>
        <v>5.295</v>
      </c>
      <c r="G20" s="6">
        <f>(358*C20)/100</f>
        <v>53.7</v>
      </c>
      <c r="H20" s="95"/>
      <c r="I20" s="95"/>
      <c r="J20" s="92"/>
    </row>
    <row r="21" spans="1:10" ht="12" customHeight="1" thickBot="1">
      <c r="A21" s="79"/>
      <c r="B21" s="29" t="s">
        <v>7</v>
      </c>
      <c r="C21" s="6">
        <v>15</v>
      </c>
      <c r="D21" s="6">
        <f>(95*C21)/100</f>
        <v>14.25</v>
      </c>
      <c r="E21" s="6">
        <v>0</v>
      </c>
      <c r="F21" s="6">
        <v>0</v>
      </c>
      <c r="G21" s="6">
        <f>(36*C21)/10</f>
        <v>54</v>
      </c>
      <c r="H21" s="95"/>
      <c r="I21" s="95"/>
      <c r="J21" s="92"/>
    </row>
    <row r="22" spans="1:10" ht="12" customHeight="1" thickBot="1">
      <c r="A22" s="79"/>
      <c r="B22" s="32" t="s">
        <v>5</v>
      </c>
      <c r="C22" s="11">
        <v>30</v>
      </c>
      <c r="D22" s="11">
        <v>0</v>
      </c>
      <c r="E22" s="11">
        <f>(1*C22)</f>
        <v>30</v>
      </c>
      <c r="F22" s="11">
        <v>0</v>
      </c>
      <c r="G22" s="11">
        <f>(9*C22)</f>
        <v>270</v>
      </c>
      <c r="H22" s="96"/>
      <c r="I22" s="96"/>
      <c r="J22" s="92"/>
    </row>
    <row r="23" spans="1:10" ht="12" customHeight="1" thickBot="1">
      <c r="A23" s="79" t="s">
        <v>55</v>
      </c>
      <c r="B23" s="29" t="s">
        <v>13</v>
      </c>
      <c r="C23" s="6">
        <v>40</v>
      </c>
      <c r="D23" s="6">
        <f>(58*C23)/100</f>
        <v>23.2</v>
      </c>
      <c r="E23" s="6">
        <f>(2*C23)/10</f>
        <v>8</v>
      </c>
      <c r="F23" s="6">
        <f>(7*C23)/100</f>
        <v>2.8</v>
      </c>
      <c r="G23" s="6">
        <f>(44*C23)/10</f>
        <v>176</v>
      </c>
      <c r="H23" s="94">
        <f>SUM(C23:C27)</f>
        <v>110</v>
      </c>
      <c r="I23" s="97">
        <f>SUM(G23:G27)</f>
        <v>617.6</v>
      </c>
      <c r="J23" s="91">
        <f>I23/H23</f>
        <v>5.614545454545455</v>
      </c>
    </row>
    <row r="24" spans="1:10" ht="12" customHeight="1" thickBot="1">
      <c r="A24" s="79"/>
      <c r="B24" s="29" t="s">
        <v>14</v>
      </c>
      <c r="C24" s="6">
        <v>15</v>
      </c>
      <c r="D24" s="6">
        <f>(8*C24)/100</f>
        <v>1.2</v>
      </c>
      <c r="E24" s="6">
        <f>(535*C24)/1000</f>
        <v>8.025</v>
      </c>
      <c r="F24" s="6">
        <f>(15*C24)/100</f>
        <v>2.25</v>
      </c>
      <c r="G24" s="6">
        <f>(579*C24)/100</f>
        <v>86.85</v>
      </c>
      <c r="H24" s="95"/>
      <c r="I24" s="98"/>
      <c r="J24" s="92"/>
    </row>
    <row r="25" spans="1:10" ht="12" customHeight="1" thickBot="1">
      <c r="A25" s="79"/>
      <c r="B25" s="29" t="s">
        <v>7</v>
      </c>
      <c r="C25" s="6">
        <v>15</v>
      </c>
      <c r="D25" s="6">
        <f>(95*C25)/100</f>
        <v>14.25</v>
      </c>
      <c r="E25" s="6">
        <v>0</v>
      </c>
      <c r="F25" s="6">
        <v>0</v>
      </c>
      <c r="G25" s="6">
        <f>(36*C25)/10</f>
        <v>54</v>
      </c>
      <c r="H25" s="95"/>
      <c r="I25" s="98"/>
      <c r="J25" s="92"/>
    </row>
    <row r="26" spans="1:10" ht="12" customHeight="1" thickBot="1">
      <c r="A26" s="79"/>
      <c r="B26" s="29" t="s">
        <v>18</v>
      </c>
      <c r="C26" s="4">
        <v>10</v>
      </c>
      <c r="D26" s="6">
        <f>(75*C26)/100</f>
        <v>7.5</v>
      </c>
      <c r="E26" s="6">
        <v>0</v>
      </c>
      <c r="F26" s="6">
        <f>(2*C26)/100</f>
        <v>0.2</v>
      </c>
      <c r="G26" s="6">
        <f>(3075*C26)/1000</f>
        <v>30.75</v>
      </c>
      <c r="H26" s="95"/>
      <c r="I26" s="98"/>
      <c r="J26" s="92"/>
    </row>
    <row r="27" spans="1:10" ht="12" customHeight="1" thickBot="1">
      <c r="A27" s="79"/>
      <c r="B27" s="32" t="s">
        <v>5</v>
      </c>
      <c r="C27" s="11">
        <v>30</v>
      </c>
      <c r="D27" s="11">
        <v>0</v>
      </c>
      <c r="E27" s="11">
        <f>(1*C27)</f>
        <v>30</v>
      </c>
      <c r="F27" s="11">
        <v>0</v>
      </c>
      <c r="G27" s="11">
        <f>(9*C27)</f>
        <v>270</v>
      </c>
      <c r="H27" s="96"/>
      <c r="I27" s="99"/>
      <c r="J27" s="93"/>
    </row>
    <row r="28" spans="1:10" ht="12" customHeight="1">
      <c r="A28" s="67" t="s">
        <v>43</v>
      </c>
      <c r="B28" s="33" t="s">
        <v>33</v>
      </c>
      <c r="C28" s="4">
        <v>50</v>
      </c>
      <c r="D28" s="6">
        <f>(1*C28)/100</f>
        <v>0.5</v>
      </c>
      <c r="E28" s="6">
        <f>(35*C28)/100</f>
        <v>17.5</v>
      </c>
      <c r="F28" s="6">
        <f>(29*C28)/100</f>
        <v>14.5</v>
      </c>
      <c r="G28" s="6">
        <f>(435*C28)/100</f>
        <v>217.5</v>
      </c>
      <c r="H28" s="109"/>
      <c r="I28" s="110"/>
      <c r="J28" s="110"/>
    </row>
    <row r="29" spans="1:10" ht="12" customHeight="1">
      <c r="A29" s="68"/>
      <c r="B29" s="29" t="s">
        <v>34</v>
      </c>
      <c r="C29" s="4">
        <v>50</v>
      </c>
      <c r="D29" s="6">
        <f>(2*C29)/100</f>
        <v>1</v>
      </c>
      <c r="E29" s="6">
        <f>(352*C29)/1000</f>
        <v>17.6</v>
      </c>
      <c r="F29" s="6">
        <f>(145*C29)/1000</f>
        <v>7.25</v>
      </c>
      <c r="G29" s="6">
        <f>(383*C29)/100</f>
        <v>191.5</v>
      </c>
      <c r="H29" s="109"/>
      <c r="I29" s="110"/>
      <c r="J29" s="110"/>
    </row>
    <row r="30" spans="1:10" ht="12" customHeight="1">
      <c r="A30" s="76"/>
      <c r="B30" s="29" t="s">
        <v>39</v>
      </c>
      <c r="C30" s="4">
        <v>61</v>
      </c>
      <c r="D30" s="6">
        <f>(7*C30)/10</f>
        <v>42.7</v>
      </c>
      <c r="E30" s="6">
        <f>(13*C30)/100</f>
        <v>7.93</v>
      </c>
      <c r="F30" s="6">
        <f>(1*C30)/10</f>
        <v>6.1</v>
      </c>
      <c r="G30" s="6">
        <f>(435*C30)/100</f>
        <v>265.35</v>
      </c>
      <c r="H30" s="109"/>
      <c r="I30" s="110"/>
      <c r="J30" s="110"/>
    </row>
    <row r="31" spans="1:10" ht="12" customHeight="1" thickBot="1">
      <c r="A31" s="76"/>
      <c r="B31" s="29" t="s">
        <v>6</v>
      </c>
      <c r="C31" s="4">
        <v>92</v>
      </c>
      <c r="D31" s="6">
        <f>(9565*C31)/10000</f>
        <v>87.998</v>
      </c>
      <c r="E31" s="6">
        <v>0</v>
      </c>
      <c r="F31" s="6">
        <v>0</v>
      </c>
      <c r="G31" s="6">
        <f>(3913*C31)/1000</f>
        <v>359.996</v>
      </c>
      <c r="H31" s="109"/>
      <c r="I31" s="111"/>
      <c r="J31" s="111"/>
    </row>
    <row r="32" spans="1:11" ht="4.5" customHeight="1" thickBot="1">
      <c r="A32" s="112"/>
      <c r="B32" s="113"/>
      <c r="C32" s="113"/>
      <c r="D32" s="113"/>
      <c r="E32" s="113"/>
      <c r="F32" s="113"/>
      <c r="G32" s="113"/>
      <c r="H32" s="113"/>
      <c r="I32" s="113"/>
      <c r="J32" s="114"/>
      <c r="K32" s="10"/>
    </row>
    <row r="33" spans="1:11" ht="15" customHeight="1" thickBot="1">
      <c r="A33" s="81" t="s">
        <v>12</v>
      </c>
      <c r="B33" s="82"/>
      <c r="C33" s="82"/>
      <c r="D33" s="82"/>
      <c r="E33" s="82"/>
      <c r="F33" s="82"/>
      <c r="G33" s="82"/>
      <c r="H33" s="82"/>
      <c r="I33" s="82"/>
      <c r="J33" s="83"/>
      <c r="K33" s="10"/>
    </row>
    <row r="34" spans="1:10" ht="12" customHeight="1" thickBot="1">
      <c r="A34" s="107" t="s">
        <v>31</v>
      </c>
      <c r="B34" s="29" t="s">
        <v>19</v>
      </c>
      <c r="C34" s="6">
        <v>100</v>
      </c>
      <c r="D34" s="6">
        <v>0</v>
      </c>
      <c r="E34" s="6">
        <f>(9*C34)/1000</f>
        <v>0.9</v>
      </c>
      <c r="F34" s="6">
        <f>(228*C34)/1000</f>
        <v>22.8</v>
      </c>
      <c r="G34" s="6">
        <f>C34</f>
        <v>100</v>
      </c>
      <c r="H34" s="108">
        <f>SUM(C34:C38)</f>
        <v>265</v>
      </c>
      <c r="I34" s="118">
        <f>SUM(G34:G38)</f>
        <v>529.6</v>
      </c>
      <c r="J34" s="117">
        <f>I34/H34</f>
        <v>1.998490566037736</v>
      </c>
    </row>
    <row r="35" spans="1:10" ht="12" customHeight="1" thickBot="1">
      <c r="A35" s="79"/>
      <c r="B35" s="29" t="s">
        <v>20</v>
      </c>
      <c r="C35" s="6">
        <v>25</v>
      </c>
      <c r="D35" s="6">
        <f>(7668*C35)/10000</f>
        <v>19.17</v>
      </c>
      <c r="E35" s="6">
        <f>(348*C35)/10000</f>
        <v>0.87</v>
      </c>
      <c r="F35" s="6">
        <f>(98*C35)/1000</f>
        <v>2.45</v>
      </c>
      <c r="G35" s="6">
        <f>(378*C35)/100</f>
        <v>94.5</v>
      </c>
      <c r="H35" s="90"/>
      <c r="I35" s="85"/>
      <c r="J35" s="87"/>
    </row>
    <row r="36" spans="1:10" ht="12" customHeight="1" thickBot="1">
      <c r="A36" s="79"/>
      <c r="B36" s="29" t="s">
        <v>10</v>
      </c>
      <c r="C36" s="6">
        <v>10</v>
      </c>
      <c r="D36" s="6">
        <f>(2*C36)/100</f>
        <v>0.2</v>
      </c>
      <c r="E36" s="6">
        <f>(27*C36)/100</f>
        <v>2.7</v>
      </c>
      <c r="F36" s="6">
        <f>(4*C36)/10</f>
        <v>4</v>
      </c>
      <c r="G36" s="6">
        <f>(411*C36)/100</f>
        <v>41.1</v>
      </c>
      <c r="H36" s="90"/>
      <c r="I36" s="85"/>
      <c r="J36" s="87"/>
    </row>
    <row r="37" spans="1:10" ht="12" customHeight="1" thickBot="1">
      <c r="A37" s="79"/>
      <c r="B37" s="29" t="s">
        <v>37</v>
      </c>
      <c r="C37" s="6">
        <v>100</v>
      </c>
      <c r="D37" s="6">
        <f>(49*C37)/1000</f>
        <v>4.9</v>
      </c>
      <c r="E37" s="6">
        <v>0</v>
      </c>
      <c r="F37" s="6">
        <f>(1*C37)/100</f>
        <v>1</v>
      </c>
      <c r="G37" s="6">
        <f>(24*C37)/100</f>
        <v>24</v>
      </c>
      <c r="H37" s="90"/>
      <c r="I37" s="85"/>
      <c r="J37" s="87"/>
    </row>
    <row r="38" spans="1:10" ht="12" customHeight="1" thickBot="1">
      <c r="A38" s="79"/>
      <c r="B38" s="32" t="s">
        <v>5</v>
      </c>
      <c r="C38" s="6">
        <v>30</v>
      </c>
      <c r="D38" s="6">
        <v>0</v>
      </c>
      <c r="E38" s="6">
        <f>C38</f>
        <v>30</v>
      </c>
      <c r="F38" s="6">
        <v>0</v>
      </c>
      <c r="G38" s="6">
        <f>9*C38</f>
        <v>270</v>
      </c>
      <c r="H38" s="90"/>
      <c r="I38" s="85"/>
      <c r="J38" s="88"/>
    </row>
    <row r="39" spans="1:10" ht="12" customHeight="1" thickBot="1">
      <c r="A39" s="79" t="s">
        <v>22</v>
      </c>
      <c r="B39" s="29" t="s">
        <v>19</v>
      </c>
      <c r="C39" s="5">
        <v>100</v>
      </c>
      <c r="D39" s="5">
        <v>0</v>
      </c>
      <c r="E39" s="5">
        <f>(9*C39)/1000</f>
        <v>0.9</v>
      </c>
      <c r="F39" s="5">
        <f>(228*C39)/1000</f>
        <v>22.8</v>
      </c>
      <c r="G39" s="5">
        <f>C39</f>
        <v>100</v>
      </c>
      <c r="H39" s="89">
        <f>SUM(C39:C42)</f>
        <v>255</v>
      </c>
      <c r="I39" s="84">
        <f>SUM(G39:G42)</f>
        <v>470.5</v>
      </c>
      <c r="J39" s="86">
        <f>I39/H39</f>
        <v>1.8450980392156864</v>
      </c>
    </row>
    <row r="40" spans="1:10" ht="12" customHeight="1" thickBot="1">
      <c r="A40" s="79"/>
      <c r="B40" s="29" t="s">
        <v>20</v>
      </c>
      <c r="C40" s="6">
        <v>25</v>
      </c>
      <c r="D40" s="6">
        <f>(7668*C40)/10000</f>
        <v>19.17</v>
      </c>
      <c r="E40" s="6">
        <f>(348*C40)/10000</f>
        <v>0.87</v>
      </c>
      <c r="F40" s="6">
        <f>(98*C40)/1000</f>
        <v>2.45</v>
      </c>
      <c r="G40" s="6">
        <f>(378*C40)/100</f>
        <v>94.5</v>
      </c>
      <c r="H40" s="90"/>
      <c r="I40" s="85"/>
      <c r="J40" s="87"/>
    </row>
    <row r="41" spans="1:10" ht="12" customHeight="1" thickBot="1">
      <c r="A41" s="79"/>
      <c r="B41" s="29" t="s">
        <v>21</v>
      </c>
      <c r="C41" s="6">
        <v>100</v>
      </c>
      <c r="D41" s="6">
        <f>(1*C41)/100</f>
        <v>1</v>
      </c>
      <c r="E41" s="6">
        <v>0</v>
      </c>
      <c r="F41" s="6">
        <f>(55*C41)/10000</f>
        <v>0.55</v>
      </c>
      <c r="G41" s="6">
        <f>(6*C41)/100</f>
        <v>6</v>
      </c>
      <c r="H41" s="90"/>
      <c r="I41" s="85"/>
      <c r="J41" s="87"/>
    </row>
    <row r="42" spans="1:10" ht="12" customHeight="1" thickBot="1">
      <c r="A42" s="79"/>
      <c r="B42" s="32" t="s">
        <v>5</v>
      </c>
      <c r="C42" s="6">
        <v>30</v>
      </c>
      <c r="D42" s="6">
        <v>0</v>
      </c>
      <c r="E42" s="6">
        <f>C42</f>
        <v>30</v>
      </c>
      <c r="F42" s="6">
        <v>0</v>
      </c>
      <c r="G42" s="6">
        <f>9*C42</f>
        <v>270</v>
      </c>
      <c r="H42" s="90"/>
      <c r="I42" s="85"/>
      <c r="J42" s="100"/>
    </row>
    <row r="43" spans="1:10" ht="12" customHeight="1" thickBot="1">
      <c r="A43" s="79" t="s">
        <v>25</v>
      </c>
      <c r="B43" s="29" t="s">
        <v>19</v>
      </c>
      <c r="C43" s="5">
        <v>100</v>
      </c>
      <c r="D43" s="5">
        <v>0</v>
      </c>
      <c r="E43" s="5">
        <f>(9*C43)/1000</f>
        <v>0.9</v>
      </c>
      <c r="F43" s="5">
        <f>(228*C43)/1000</f>
        <v>22.8</v>
      </c>
      <c r="G43" s="5">
        <f>C43</f>
        <v>100</v>
      </c>
      <c r="H43" s="89">
        <f>SUM(C43:C48)</f>
        <v>375</v>
      </c>
      <c r="I43" s="84">
        <f>SUM(G43:G48)</f>
        <v>673.899</v>
      </c>
      <c r="J43" s="117">
        <f>I43/H43</f>
        <v>1.797064</v>
      </c>
    </row>
    <row r="44" spans="1:10" ht="12" customHeight="1" thickBot="1">
      <c r="A44" s="79"/>
      <c r="B44" s="29" t="s">
        <v>23</v>
      </c>
      <c r="C44" s="6">
        <v>130</v>
      </c>
      <c r="D44" s="6">
        <f>(4131*C44)/10000</f>
        <v>53.703</v>
      </c>
      <c r="E44" s="6">
        <f>(127*C44)/10000</f>
        <v>1.651</v>
      </c>
      <c r="F44" s="6">
        <f>(685*C44)/10000</f>
        <v>8.905</v>
      </c>
      <c r="G44" s="6">
        <f>(20423*C44)/10000</f>
        <v>265.499</v>
      </c>
      <c r="H44" s="90"/>
      <c r="I44" s="85"/>
      <c r="J44" s="87"/>
    </row>
    <row r="45" spans="1:10" ht="12" customHeight="1" thickBot="1">
      <c r="A45" s="79"/>
      <c r="B45" s="29" t="s">
        <v>24</v>
      </c>
      <c r="C45" s="6">
        <v>100</v>
      </c>
      <c r="D45" s="6">
        <f>(67*C45)/1000</f>
        <v>6.7</v>
      </c>
      <c r="E45" s="6">
        <f>(6*C45)/1000</f>
        <v>0.6</v>
      </c>
      <c r="F45" s="6">
        <f>(19*C45)/1000</f>
        <v>1.9</v>
      </c>
      <c r="G45" s="6">
        <f>(4*C45)/100</f>
        <v>4</v>
      </c>
      <c r="H45" s="90"/>
      <c r="I45" s="85"/>
      <c r="J45" s="87"/>
    </row>
    <row r="46" spans="1:10" ht="12" customHeight="1" thickBot="1">
      <c r="A46" s="79"/>
      <c r="B46" s="29" t="s">
        <v>18</v>
      </c>
      <c r="C46" s="4">
        <v>10</v>
      </c>
      <c r="D46" s="6">
        <f>(75*C46)/100</f>
        <v>7.5</v>
      </c>
      <c r="E46" s="6">
        <v>0</v>
      </c>
      <c r="F46" s="6">
        <f>(2*C46)/100</f>
        <v>0.2</v>
      </c>
      <c r="G46" s="6">
        <f>(3075*C46)/1000</f>
        <v>30.75</v>
      </c>
      <c r="H46" s="90"/>
      <c r="I46" s="85"/>
      <c r="J46" s="88"/>
    </row>
    <row r="47" spans="1:10" ht="12" customHeight="1" thickBot="1">
      <c r="A47" s="79"/>
      <c r="B47" s="29" t="s">
        <v>54</v>
      </c>
      <c r="C47" s="4">
        <v>5</v>
      </c>
      <c r="D47" s="6">
        <f>(139*C47)/1000</f>
        <v>0.695</v>
      </c>
      <c r="E47" s="6">
        <f>(1*C47)/1000</f>
        <v>0.005</v>
      </c>
      <c r="F47" s="6">
        <f>(4*C47)/100</f>
        <v>0.2</v>
      </c>
      <c r="G47" s="6">
        <f>(73*C47)/100</f>
        <v>3.65</v>
      </c>
      <c r="H47" s="90"/>
      <c r="I47" s="85"/>
      <c r="J47" s="88"/>
    </row>
    <row r="48" spans="1:10" ht="12" customHeight="1" thickBot="1">
      <c r="A48" s="79"/>
      <c r="B48" s="32" t="s">
        <v>5</v>
      </c>
      <c r="C48" s="6">
        <v>30</v>
      </c>
      <c r="D48" s="6">
        <v>0</v>
      </c>
      <c r="E48" s="6">
        <f>C48</f>
        <v>30</v>
      </c>
      <c r="F48" s="6">
        <v>0</v>
      </c>
      <c r="G48" s="6">
        <f>9*C48</f>
        <v>270</v>
      </c>
      <c r="H48" s="90"/>
      <c r="I48" s="85"/>
      <c r="J48" s="88"/>
    </row>
    <row r="49" spans="1:10" ht="12" customHeight="1" thickBot="1">
      <c r="A49" s="79" t="s">
        <v>28</v>
      </c>
      <c r="B49" s="29" t="s">
        <v>19</v>
      </c>
      <c r="C49" s="5">
        <v>100</v>
      </c>
      <c r="D49" s="5">
        <v>0</v>
      </c>
      <c r="E49" s="5">
        <f>(9*C49)/1000</f>
        <v>0.9</v>
      </c>
      <c r="F49" s="5">
        <f>(228*C49)/1000</f>
        <v>22.8</v>
      </c>
      <c r="G49" s="5">
        <f>C49</f>
        <v>100</v>
      </c>
      <c r="H49" s="89">
        <f>SUM(C49:C53)</f>
        <v>440</v>
      </c>
      <c r="I49" s="84">
        <f>SUM(G49:G53)</f>
        <v>645.1</v>
      </c>
      <c r="J49" s="86">
        <f>I49/H49</f>
        <v>1.4661363636363638</v>
      </c>
    </row>
    <row r="50" spans="1:10" ht="12" customHeight="1" thickBot="1">
      <c r="A50" s="79"/>
      <c r="B50" s="29" t="s">
        <v>26</v>
      </c>
      <c r="C50" s="6">
        <v>150</v>
      </c>
      <c r="D50" s="6">
        <f>(288*C50)/1000</f>
        <v>43.2</v>
      </c>
      <c r="E50" s="6">
        <v>0</v>
      </c>
      <c r="F50" s="6">
        <f>(5*C50)/100</f>
        <v>7.5</v>
      </c>
      <c r="G50" s="6">
        <f>(136*C50)/100</f>
        <v>204</v>
      </c>
      <c r="H50" s="90"/>
      <c r="I50" s="85"/>
      <c r="J50" s="87"/>
    </row>
    <row r="51" spans="1:10" ht="12" customHeight="1" thickBot="1">
      <c r="A51" s="79"/>
      <c r="B51" s="29" t="s">
        <v>10</v>
      </c>
      <c r="C51" s="6">
        <v>10</v>
      </c>
      <c r="D51" s="6">
        <f>(2*C51)/100</f>
        <v>0.2</v>
      </c>
      <c r="E51" s="6">
        <f>(27*C51)/100</f>
        <v>2.7</v>
      </c>
      <c r="F51" s="6">
        <f>(4*C51)/10</f>
        <v>4</v>
      </c>
      <c r="G51" s="6">
        <f>(411*C51)/100</f>
        <v>41.1</v>
      </c>
      <c r="H51" s="90"/>
      <c r="I51" s="85"/>
      <c r="J51" s="87"/>
    </row>
    <row r="52" spans="1:10" ht="12" customHeight="1" thickBot="1">
      <c r="A52" s="79"/>
      <c r="B52" s="29" t="s">
        <v>27</v>
      </c>
      <c r="C52" s="6">
        <v>150</v>
      </c>
      <c r="D52" s="6">
        <f>(2*C52)/100</f>
        <v>3</v>
      </c>
      <c r="E52" s="6">
        <v>0</v>
      </c>
      <c r="F52" s="6">
        <f>(3*C52)/100</f>
        <v>4.5</v>
      </c>
      <c r="G52" s="6">
        <f>(2*C52)/10</f>
        <v>30</v>
      </c>
      <c r="H52" s="90"/>
      <c r="I52" s="85"/>
      <c r="J52" s="87"/>
    </row>
    <row r="53" spans="1:10" ht="12" customHeight="1" thickBot="1">
      <c r="A53" s="79"/>
      <c r="B53" s="32" t="s">
        <v>5</v>
      </c>
      <c r="C53" s="6">
        <v>30</v>
      </c>
      <c r="D53" s="6">
        <v>0</v>
      </c>
      <c r="E53" s="6">
        <f>C53</f>
        <v>30</v>
      </c>
      <c r="F53" s="6">
        <v>0</v>
      </c>
      <c r="G53" s="6">
        <f>9*C53</f>
        <v>270</v>
      </c>
      <c r="H53" s="90"/>
      <c r="I53" s="85"/>
      <c r="J53" s="100"/>
    </row>
    <row r="54" spans="1:10" ht="12" customHeight="1" thickBot="1">
      <c r="A54" s="79" t="s">
        <v>67</v>
      </c>
      <c r="B54" s="29" t="s">
        <v>29</v>
      </c>
      <c r="C54" s="5">
        <v>100</v>
      </c>
      <c r="D54" s="5">
        <v>0</v>
      </c>
      <c r="E54" s="5">
        <f>(2*C54)/100</f>
        <v>2</v>
      </c>
      <c r="F54" s="5">
        <f>(19*C54)/100</f>
        <v>19</v>
      </c>
      <c r="G54" s="5">
        <f>(93*C54)/100</f>
        <v>93</v>
      </c>
      <c r="H54" s="89">
        <f>SUM(C54:C57)</f>
        <v>255</v>
      </c>
      <c r="I54" s="84">
        <f>SUM(G54:G57)</f>
        <v>473.5</v>
      </c>
      <c r="J54" s="86">
        <f>I54/H54</f>
        <v>1.8568627450980393</v>
      </c>
    </row>
    <row r="55" spans="1:10" ht="12" customHeight="1" thickBot="1">
      <c r="A55" s="79"/>
      <c r="B55" s="29" t="s">
        <v>20</v>
      </c>
      <c r="C55" s="6">
        <v>25</v>
      </c>
      <c r="D55" s="6">
        <f>(7668*C55)/10000</f>
        <v>19.17</v>
      </c>
      <c r="E55" s="6">
        <f>(348*C55)/10000</f>
        <v>0.87</v>
      </c>
      <c r="F55" s="6">
        <f>(98*C55)/1000</f>
        <v>2.45</v>
      </c>
      <c r="G55" s="6">
        <f>(378*C55)/100</f>
        <v>94.5</v>
      </c>
      <c r="H55" s="90"/>
      <c r="I55" s="85"/>
      <c r="J55" s="87"/>
    </row>
    <row r="56" spans="1:10" ht="12" customHeight="1" thickBot="1">
      <c r="A56" s="79"/>
      <c r="B56" s="29" t="s">
        <v>30</v>
      </c>
      <c r="C56" s="6">
        <v>100</v>
      </c>
      <c r="D56" s="6">
        <f>(2*C56)/100</f>
        <v>2</v>
      </c>
      <c r="E56" s="6">
        <v>0</v>
      </c>
      <c r="F56" s="6">
        <f>(2*C56)/100</f>
        <v>2</v>
      </c>
      <c r="G56" s="6">
        <f>(16*C56)/100</f>
        <v>16</v>
      </c>
      <c r="H56" s="90"/>
      <c r="I56" s="85"/>
      <c r="J56" s="87"/>
    </row>
    <row r="57" spans="1:10" ht="12" customHeight="1" thickBot="1">
      <c r="A57" s="79"/>
      <c r="B57" s="32" t="s">
        <v>5</v>
      </c>
      <c r="C57" s="11">
        <v>30</v>
      </c>
      <c r="D57" s="11">
        <v>0</v>
      </c>
      <c r="E57" s="11">
        <f>C57</f>
        <v>30</v>
      </c>
      <c r="F57" s="11">
        <v>0</v>
      </c>
      <c r="G57" s="11">
        <f>9*C57</f>
        <v>270</v>
      </c>
      <c r="H57" s="90"/>
      <c r="I57" s="85"/>
      <c r="J57" s="88"/>
    </row>
    <row r="58" spans="1:10" ht="12" customHeight="1" thickBot="1">
      <c r="A58" s="79" t="s">
        <v>57</v>
      </c>
      <c r="B58" s="29" t="s">
        <v>29</v>
      </c>
      <c r="C58" s="5">
        <v>100</v>
      </c>
      <c r="D58" s="5">
        <v>0</v>
      </c>
      <c r="E58" s="5">
        <f>(2*C58)/100</f>
        <v>2</v>
      </c>
      <c r="F58" s="5">
        <f>(19*C58)/100</f>
        <v>19</v>
      </c>
      <c r="G58" s="5">
        <f>(93*C58)/100</f>
        <v>93</v>
      </c>
      <c r="H58" s="94">
        <f>SUM(C58:C61)</f>
        <v>380</v>
      </c>
      <c r="I58" s="97">
        <f>SUM(G58:G61)</f>
        <v>583</v>
      </c>
      <c r="J58" s="86">
        <f>I58/H58</f>
        <v>1.5342105263157895</v>
      </c>
    </row>
    <row r="59" spans="1:10" ht="12" customHeight="1" thickBot="1">
      <c r="A59" s="79"/>
      <c r="B59" s="29" t="s">
        <v>26</v>
      </c>
      <c r="C59" s="6">
        <v>150</v>
      </c>
      <c r="D59" s="6">
        <f>(288*C59)/1000</f>
        <v>43.2</v>
      </c>
      <c r="E59" s="6">
        <v>0</v>
      </c>
      <c r="F59" s="6">
        <f>(5*C59)/100</f>
        <v>7.5</v>
      </c>
      <c r="G59" s="6">
        <f>(136*C59)/100</f>
        <v>204</v>
      </c>
      <c r="H59" s="95"/>
      <c r="I59" s="98"/>
      <c r="J59" s="87"/>
    </row>
    <row r="60" spans="1:10" ht="12" customHeight="1" thickBot="1">
      <c r="A60" s="79"/>
      <c r="B60" s="29" t="s">
        <v>30</v>
      </c>
      <c r="C60" s="6">
        <v>100</v>
      </c>
      <c r="D60" s="6">
        <f>(2*C60)/100</f>
        <v>2</v>
      </c>
      <c r="E60" s="6">
        <v>0</v>
      </c>
      <c r="F60" s="6">
        <f>(2*C60)/100</f>
        <v>2</v>
      </c>
      <c r="G60" s="6">
        <f>(16*C60)/100</f>
        <v>16</v>
      </c>
      <c r="H60" s="95"/>
      <c r="I60" s="98"/>
      <c r="J60" s="87"/>
    </row>
    <row r="61" spans="1:10" ht="12" customHeight="1" thickBot="1">
      <c r="A61" s="79"/>
      <c r="B61" s="32" t="s">
        <v>5</v>
      </c>
      <c r="C61" s="11">
        <v>30</v>
      </c>
      <c r="D61" s="11">
        <v>0</v>
      </c>
      <c r="E61" s="11">
        <f>C61</f>
        <v>30</v>
      </c>
      <c r="F61" s="11">
        <v>0</v>
      </c>
      <c r="G61" s="11">
        <f>9*C61</f>
        <v>270</v>
      </c>
      <c r="H61" s="96"/>
      <c r="I61" s="99"/>
      <c r="J61" s="100"/>
    </row>
    <row r="62" spans="1:10" ht="12" customHeight="1" thickBot="1">
      <c r="A62" s="79" t="s">
        <v>50</v>
      </c>
      <c r="B62" s="29" t="s">
        <v>52</v>
      </c>
      <c r="C62" s="6">
        <v>100</v>
      </c>
      <c r="D62" s="6">
        <f>(152*C62)/1000</f>
        <v>15.2</v>
      </c>
      <c r="E62" s="6">
        <f>(379*C62)/1000</f>
        <v>37.9</v>
      </c>
      <c r="F62" s="6">
        <v>0</v>
      </c>
      <c r="G62" s="6">
        <f>(404*C62)/100</f>
        <v>404</v>
      </c>
      <c r="H62" s="94">
        <f>SUM(C62:C65)</f>
        <v>280</v>
      </c>
      <c r="I62" s="97">
        <f>SUM(G62:G65)</f>
        <v>889</v>
      </c>
      <c r="J62" s="86">
        <f>I62/H62</f>
        <v>3.175</v>
      </c>
    </row>
    <row r="63" spans="1:10" ht="12" customHeight="1" thickBot="1">
      <c r="A63" s="79"/>
      <c r="B63" s="29" t="s">
        <v>20</v>
      </c>
      <c r="C63" s="6">
        <v>50</v>
      </c>
      <c r="D63" s="6">
        <f>(7668*C63)/10000</f>
        <v>38.34</v>
      </c>
      <c r="E63" s="6">
        <f>(348*C63)/10000</f>
        <v>1.74</v>
      </c>
      <c r="F63" s="6">
        <f>(98*C63)/1000</f>
        <v>4.9</v>
      </c>
      <c r="G63" s="6">
        <f>(378*C63)/100</f>
        <v>189</v>
      </c>
      <c r="H63" s="95"/>
      <c r="I63" s="98"/>
      <c r="J63" s="87"/>
    </row>
    <row r="64" spans="1:10" ht="12" customHeight="1" thickBot="1">
      <c r="A64" s="79"/>
      <c r="B64" s="29" t="s">
        <v>53</v>
      </c>
      <c r="C64" s="6">
        <v>100</v>
      </c>
      <c r="D64" s="6">
        <f>(56*C64)/1000</f>
        <v>5.6</v>
      </c>
      <c r="E64" s="6">
        <v>0</v>
      </c>
      <c r="F64" s="6">
        <f>(1*C64)/100</f>
        <v>1</v>
      </c>
      <c r="G64" s="6">
        <f>(26*C64)/100</f>
        <v>26</v>
      </c>
      <c r="H64" s="95"/>
      <c r="I64" s="98"/>
      <c r="J64" s="87"/>
    </row>
    <row r="65" spans="1:10" ht="12" customHeight="1" thickBot="1">
      <c r="A65" s="79"/>
      <c r="B65" s="32" t="s">
        <v>5</v>
      </c>
      <c r="C65" s="6">
        <v>30</v>
      </c>
      <c r="D65" s="6">
        <v>0</v>
      </c>
      <c r="E65" s="6">
        <f>C65</f>
        <v>30</v>
      </c>
      <c r="F65" s="6">
        <v>0</v>
      </c>
      <c r="G65" s="6">
        <f>9*C65</f>
        <v>270</v>
      </c>
      <c r="H65" s="96"/>
      <c r="I65" s="99"/>
      <c r="J65" s="88"/>
    </row>
    <row r="66" spans="1:10" ht="12" customHeight="1" thickBot="1">
      <c r="A66" s="79" t="s">
        <v>51</v>
      </c>
      <c r="B66" s="29" t="s">
        <v>56</v>
      </c>
      <c r="C66" s="5">
        <v>100</v>
      </c>
      <c r="D66" s="5">
        <v>0</v>
      </c>
      <c r="E66" s="5">
        <f>(25*C66)/100</f>
        <v>25</v>
      </c>
      <c r="F66" s="5">
        <f>(224*C66)/1000</f>
        <v>22.4</v>
      </c>
      <c r="G66" s="5">
        <f>(315*C66)/100</f>
        <v>315</v>
      </c>
      <c r="H66" s="94">
        <f>SUM(C66:C71)</f>
        <v>345</v>
      </c>
      <c r="I66" s="97">
        <f>SUM(G66:G71)</f>
        <v>751.405</v>
      </c>
      <c r="J66" s="91">
        <f>I66/H66</f>
        <v>2.1779855072463765</v>
      </c>
    </row>
    <row r="67" spans="1:10" ht="12" customHeight="1" thickBot="1">
      <c r="A67" s="79"/>
      <c r="B67" s="29" t="s">
        <v>24</v>
      </c>
      <c r="C67" s="6">
        <v>50</v>
      </c>
      <c r="D67" s="6">
        <f>(67*C67)/1000</f>
        <v>3.35</v>
      </c>
      <c r="E67" s="6">
        <f>(6*C67)/1000</f>
        <v>0.3</v>
      </c>
      <c r="F67" s="6">
        <f>(19*C67)/1000</f>
        <v>0.95</v>
      </c>
      <c r="G67" s="6">
        <f>(4*C67)/100</f>
        <v>2</v>
      </c>
      <c r="H67" s="95"/>
      <c r="I67" s="98"/>
      <c r="J67" s="92"/>
    </row>
    <row r="68" spans="1:10" ht="12" customHeight="1" thickBot="1">
      <c r="A68" s="79"/>
      <c r="B68" s="29" t="s">
        <v>18</v>
      </c>
      <c r="C68" s="4">
        <v>10</v>
      </c>
      <c r="D68" s="6">
        <f>(75*C68)/100</f>
        <v>7.5</v>
      </c>
      <c r="E68" s="6">
        <v>0</v>
      </c>
      <c r="F68" s="6">
        <f>(2*C68)/100</f>
        <v>0.2</v>
      </c>
      <c r="G68" s="6">
        <f>(3075*C68)/1000</f>
        <v>30.75</v>
      </c>
      <c r="H68" s="95"/>
      <c r="I68" s="98"/>
      <c r="J68" s="92"/>
    </row>
    <row r="69" spans="1:10" ht="12" customHeight="1" thickBot="1">
      <c r="A69" s="79"/>
      <c r="B69" s="29" t="s">
        <v>54</v>
      </c>
      <c r="C69" s="4">
        <v>5</v>
      </c>
      <c r="D69" s="6">
        <f>(139*C69)/1000</f>
        <v>0.695</v>
      </c>
      <c r="E69" s="6">
        <f>(1*C69)/1000</f>
        <v>0.005</v>
      </c>
      <c r="F69" s="6">
        <f>(4*C69)/100</f>
        <v>0.2</v>
      </c>
      <c r="G69" s="6">
        <f>(73*C69)/100</f>
        <v>3.65</v>
      </c>
      <c r="H69" s="95"/>
      <c r="I69" s="98"/>
      <c r="J69" s="92"/>
    </row>
    <row r="70" spans="1:10" ht="12" customHeight="1" thickBot="1">
      <c r="A70" s="79"/>
      <c r="B70" s="29" t="s">
        <v>84</v>
      </c>
      <c r="C70" s="4">
        <v>150</v>
      </c>
      <c r="D70" s="6">
        <f>(1967*C70)/10000</f>
        <v>29.505</v>
      </c>
      <c r="E70" s="6">
        <v>0</v>
      </c>
      <c r="F70" s="6">
        <f>(2*C70)/100</f>
        <v>3</v>
      </c>
      <c r="G70" s="6">
        <f>(8667*C70)/10000</f>
        <v>130.005</v>
      </c>
      <c r="H70" s="95"/>
      <c r="I70" s="98"/>
      <c r="J70" s="92"/>
    </row>
    <row r="71" spans="1:10" ht="12" customHeight="1" thickBot="1">
      <c r="A71" s="79"/>
      <c r="B71" s="32" t="s">
        <v>5</v>
      </c>
      <c r="C71" s="11">
        <v>30</v>
      </c>
      <c r="D71" s="11">
        <v>0</v>
      </c>
      <c r="E71" s="11">
        <f>C71</f>
        <v>30</v>
      </c>
      <c r="F71" s="11">
        <v>0</v>
      </c>
      <c r="G71" s="11">
        <f>9*C71</f>
        <v>270</v>
      </c>
      <c r="H71" s="96"/>
      <c r="I71" s="99"/>
      <c r="J71" s="93"/>
    </row>
    <row r="72" spans="1:10" ht="12" customHeight="1" thickBot="1">
      <c r="A72" s="79" t="s">
        <v>43</v>
      </c>
      <c r="B72" s="29" t="s">
        <v>11</v>
      </c>
      <c r="C72" s="6">
        <v>45</v>
      </c>
      <c r="D72" s="6">
        <f>(6*C72)/10</f>
        <v>27</v>
      </c>
      <c r="E72" s="6">
        <f>(133*C72)/1000</f>
        <v>5.985</v>
      </c>
      <c r="F72" s="6">
        <f>(1*C72)/10</f>
        <v>4.5</v>
      </c>
      <c r="G72" s="6">
        <f>(4*C72)</f>
        <v>180</v>
      </c>
      <c r="H72" s="98"/>
      <c r="I72" s="116"/>
      <c r="J72" s="116"/>
    </row>
    <row r="73" spans="1:10" ht="12" customHeight="1" thickBot="1">
      <c r="A73" s="79"/>
      <c r="B73" s="29" t="s">
        <v>38</v>
      </c>
      <c r="C73" s="4">
        <v>24.4</v>
      </c>
      <c r="D73" s="6">
        <f>(7*C73)/10</f>
        <v>17.08</v>
      </c>
      <c r="E73" s="6">
        <f>(13*C73)/100</f>
        <v>3.1719999999999997</v>
      </c>
      <c r="F73" s="6">
        <f>(1*C73)/10</f>
        <v>2.44</v>
      </c>
      <c r="G73" s="6">
        <f>(435*C73)/100</f>
        <v>106.14</v>
      </c>
      <c r="H73" s="98"/>
      <c r="I73" s="116"/>
      <c r="J73" s="116"/>
    </row>
    <row r="74" spans="1:10" ht="12" customHeight="1" thickBot="1">
      <c r="A74" s="79"/>
      <c r="B74" s="29" t="s">
        <v>15</v>
      </c>
      <c r="C74" s="6">
        <v>2</v>
      </c>
      <c r="D74" s="6">
        <v>0</v>
      </c>
      <c r="E74" s="6">
        <v>0</v>
      </c>
      <c r="F74" s="6">
        <v>0</v>
      </c>
      <c r="G74" s="6">
        <v>0</v>
      </c>
      <c r="H74" s="98"/>
      <c r="I74" s="116"/>
      <c r="J74" s="116"/>
    </row>
    <row r="75" spans="1:10" ht="12" customHeight="1" thickBot="1">
      <c r="A75" s="79"/>
      <c r="B75" s="34" t="s">
        <v>16</v>
      </c>
      <c r="C75" s="6">
        <v>2</v>
      </c>
      <c r="D75" s="6">
        <v>0</v>
      </c>
      <c r="E75" s="6">
        <v>0</v>
      </c>
      <c r="F75" s="6">
        <v>0</v>
      </c>
      <c r="G75" s="6">
        <v>0</v>
      </c>
      <c r="H75" s="98"/>
      <c r="I75" s="116"/>
      <c r="J75" s="116"/>
    </row>
    <row r="76" spans="1:10" ht="12" customHeight="1" thickBot="1">
      <c r="A76" s="67"/>
      <c r="B76" s="29" t="s">
        <v>17</v>
      </c>
      <c r="C76" s="6">
        <v>50</v>
      </c>
      <c r="D76" s="6">
        <f>C76</f>
        <v>50</v>
      </c>
      <c r="E76" s="6">
        <v>0</v>
      </c>
      <c r="F76" s="6">
        <v>0</v>
      </c>
      <c r="G76" s="6">
        <f>C76*4</f>
        <v>200</v>
      </c>
      <c r="H76" s="98"/>
      <c r="I76" s="116"/>
      <c r="J76" s="116"/>
    </row>
    <row r="77" spans="1:10" ht="4.5" customHeight="1" thickBot="1">
      <c r="A77" s="104"/>
      <c r="B77" s="105"/>
      <c r="C77" s="105"/>
      <c r="D77" s="105"/>
      <c r="E77" s="105"/>
      <c r="F77" s="105"/>
      <c r="G77" s="105"/>
      <c r="H77" s="105"/>
      <c r="I77" s="105"/>
      <c r="J77" s="106"/>
    </row>
  </sheetData>
  <mergeCells count="69">
    <mergeCell ref="H54:H57"/>
    <mergeCell ref="I62:I65"/>
    <mergeCell ref="I2:I3"/>
    <mergeCell ref="I6:I11"/>
    <mergeCell ref="H72:J76"/>
    <mergeCell ref="A72:A76"/>
    <mergeCell ref="J34:J38"/>
    <mergeCell ref="J39:J42"/>
    <mergeCell ref="J43:J48"/>
    <mergeCell ref="J49:J53"/>
    <mergeCell ref="I34:I38"/>
    <mergeCell ref="H39:H42"/>
    <mergeCell ref="I66:I71"/>
    <mergeCell ref="J62:J65"/>
    <mergeCell ref="G2:G3"/>
    <mergeCell ref="A12:A14"/>
    <mergeCell ref="H17:H22"/>
    <mergeCell ref="H6:H11"/>
    <mergeCell ref="A6:A11"/>
    <mergeCell ref="A17:A22"/>
    <mergeCell ref="A15:J15"/>
    <mergeCell ref="I17:I22"/>
    <mergeCell ref="H12:J14"/>
    <mergeCell ref="J6:J11"/>
    <mergeCell ref="J17:J22"/>
    <mergeCell ref="I39:I42"/>
    <mergeCell ref="I43:I48"/>
    <mergeCell ref="H43:H48"/>
    <mergeCell ref="J23:J27"/>
    <mergeCell ref="H28:J31"/>
    <mergeCell ref="A32:J32"/>
    <mergeCell ref="A23:A27"/>
    <mergeCell ref="H23:H27"/>
    <mergeCell ref="I23:I27"/>
    <mergeCell ref="A28:A31"/>
    <mergeCell ref="I49:I53"/>
    <mergeCell ref="A77:J77"/>
    <mergeCell ref="A34:A38"/>
    <mergeCell ref="H34:H38"/>
    <mergeCell ref="A39:A42"/>
    <mergeCell ref="A43:A48"/>
    <mergeCell ref="A62:A65"/>
    <mergeCell ref="A66:A71"/>
    <mergeCell ref="H62:H65"/>
    <mergeCell ref="A1:J1"/>
    <mergeCell ref="A3:B3"/>
    <mergeCell ref="A2:B2"/>
    <mergeCell ref="A4:G4"/>
    <mergeCell ref="C2:C3"/>
    <mergeCell ref="D2:D3"/>
    <mergeCell ref="E2:E3"/>
    <mergeCell ref="F2:F3"/>
    <mergeCell ref="H2:H3"/>
    <mergeCell ref="J2:J3"/>
    <mergeCell ref="J66:J71"/>
    <mergeCell ref="H58:H61"/>
    <mergeCell ref="I58:I61"/>
    <mergeCell ref="J58:J61"/>
    <mergeCell ref="H66:H71"/>
    <mergeCell ref="A58:A61"/>
    <mergeCell ref="H4:J4"/>
    <mergeCell ref="A5:J5"/>
    <mergeCell ref="A16:J16"/>
    <mergeCell ref="A33:J33"/>
    <mergeCell ref="A49:A53"/>
    <mergeCell ref="A54:A57"/>
    <mergeCell ref="I54:I57"/>
    <mergeCell ref="J54:J57"/>
    <mergeCell ref="H49:H5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121" zoomScaleNormal="121" workbookViewId="0" topLeftCell="A1">
      <selection activeCell="C76" sqref="C76"/>
    </sheetView>
  </sheetViews>
  <sheetFormatPr defaultColWidth="11.421875" defaultRowHeight="12.75"/>
  <cols>
    <col min="1" max="1" width="10.7109375" style="28" customWidth="1"/>
    <col min="2" max="2" width="25.7109375" style="1" customWidth="1"/>
    <col min="3" max="7" width="5.7109375" style="1" customWidth="1"/>
    <col min="8" max="11" width="5.7109375" style="3" customWidth="1"/>
    <col min="12" max="16384" width="11.421875" style="1" customWidth="1"/>
  </cols>
  <sheetData>
    <row r="1" spans="1:11" ht="15" customHeight="1" thickBot="1">
      <c r="A1" s="81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2" customFormat="1" ht="15" customHeight="1">
      <c r="A2" s="141" t="s">
        <v>0</v>
      </c>
      <c r="B2" s="142"/>
      <c r="C2" s="76" t="s">
        <v>45</v>
      </c>
      <c r="D2" s="76" t="s">
        <v>36</v>
      </c>
      <c r="E2" s="76" t="s">
        <v>64</v>
      </c>
      <c r="F2" s="76" t="s">
        <v>65</v>
      </c>
      <c r="G2" s="76" t="s">
        <v>66</v>
      </c>
      <c r="H2" s="76" t="s">
        <v>40</v>
      </c>
      <c r="I2" s="76" t="s">
        <v>41</v>
      </c>
      <c r="J2" s="76" t="s">
        <v>42</v>
      </c>
      <c r="K2" s="120" t="s">
        <v>69</v>
      </c>
    </row>
    <row r="3" spans="1:11" ht="15" customHeight="1" thickBot="1">
      <c r="A3" s="102"/>
      <c r="B3" s="123"/>
      <c r="C3" s="77"/>
      <c r="D3" s="77"/>
      <c r="E3" s="77"/>
      <c r="F3" s="77"/>
      <c r="G3" s="77"/>
      <c r="H3" s="78"/>
      <c r="I3" s="78"/>
      <c r="J3" s="78"/>
      <c r="K3" s="121"/>
    </row>
    <row r="4" spans="1:10" ht="4.5" customHeight="1" thickBot="1">
      <c r="A4" s="101"/>
      <c r="B4" s="101"/>
      <c r="C4" s="101"/>
      <c r="D4" s="101"/>
      <c r="E4" s="101"/>
      <c r="F4" s="101"/>
      <c r="G4" s="101"/>
      <c r="H4" s="80"/>
      <c r="I4" s="80"/>
      <c r="J4" s="80"/>
    </row>
    <row r="5" spans="1:10" ht="15" customHeight="1" thickBot="1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3"/>
    </row>
    <row r="6" spans="1:11" ht="12" customHeight="1">
      <c r="A6" s="68" t="s">
        <v>32</v>
      </c>
      <c r="B6" s="29" t="s">
        <v>13</v>
      </c>
      <c r="C6" s="4">
        <v>60</v>
      </c>
      <c r="D6" s="6">
        <f>(58*C6)/100</f>
        <v>34.8</v>
      </c>
      <c r="E6" s="6">
        <f>(2*C6)/10</f>
        <v>12</v>
      </c>
      <c r="F6" s="6">
        <f>(693*C6)/10000</f>
        <v>4.158</v>
      </c>
      <c r="G6" s="6">
        <f>(44*C6)/10</f>
        <v>264</v>
      </c>
      <c r="H6" s="125">
        <f>SUM(C6:C11)</f>
        <v>165</v>
      </c>
      <c r="I6" s="127">
        <f>SUM(G6:G11)</f>
        <v>847.1495</v>
      </c>
      <c r="J6" s="130">
        <f>I6/H6</f>
        <v>5.134239393939394</v>
      </c>
      <c r="K6" s="120">
        <v>12</v>
      </c>
    </row>
    <row r="7" spans="1:11" ht="12" customHeight="1">
      <c r="A7" s="68"/>
      <c r="B7" s="29" t="s">
        <v>3</v>
      </c>
      <c r="C7" s="4">
        <v>25</v>
      </c>
      <c r="D7" s="6">
        <f>(5433*C7)/10000</f>
        <v>13.5825</v>
      </c>
      <c r="E7" s="6">
        <f>(3433*C7)/10000</f>
        <v>8.5825</v>
      </c>
      <c r="F7" s="6">
        <f>(767*C7)/10000</f>
        <v>1.9175</v>
      </c>
      <c r="G7" s="6">
        <f>(55667*C7)/10000</f>
        <v>139.1675</v>
      </c>
      <c r="H7" s="125"/>
      <c r="I7" s="128"/>
      <c r="J7" s="130"/>
      <c r="K7" s="122"/>
    </row>
    <row r="8" spans="1:11" ht="12" customHeight="1">
      <c r="A8" s="68"/>
      <c r="B8" s="29" t="s">
        <v>49</v>
      </c>
      <c r="C8" s="4">
        <v>15</v>
      </c>
      <c r="D8" s="6">
        <f>(519*C8)/1000</f>
        <v>7.785</v>
      </c>
      <c r="E8" s="6">
        <f>(1*C8)/100</f>
        <v>0.15</v>
      </c>
      <c r="F8" s="6">
        <f>(353*C8)/1000</f>
        <v>5.295</v>
      </c>
      <c r="G8" s="6">
        <f>(358*C8)/100</f>
        <v>53.7</v>
      </c>
      <c r="H8" s="125"/>
      <c r="I8" s="128"/>
      <c r="J8" s="130"/>
      <c r="K8" s="122"/>
    </row>
    <row r="9" spans="1:11" ht="12" customHeight="1">
      <c r="A9" s="68"/>
      <c r="B9" s="29" t="s">
        <v>4</v>
      </c>
      <c r="C9" s="4">
        <v>15</v>
      </c>
      <c r="D9" s="6">
        <f>(975*C9)/1000</f>
        <v>14.625</v>
      </c>
      <c r="E9" s="6">
        <v>0</v>
      </c>
      <c r="F9" s="6">
        <v>0</v>
      </c>
      <c r="G9" s="6">
        <f>(39188*C9)/10000</f>
        <v>58.782</v>
      </c>
      <c r="H9" s="125"/>
      <c r="I9" s="128"/>
      <c r="J9" s="130"/>
      <c r="K9" s="122"/>
    </row>
    <row r="10" spans="1:11" ht="12" customHeight="1">
      <c r="A10" s="68"/>
      <c r="B10" s="29" t="s">
        <v>18</v>
      </c>
      <c r="C10" s="4">
        <v>20</v>
      </c>
      <c r="D10" s="6">
        <f>(75*C10)/100</f>
        <v>15</v>
      </c>
      <c r="E10" s="6">
        <v>0</v>
      </c>
      <c r="F10" s="6">
        <f>(2*C10)/100</f>
        <v>0.4</v>
      </c>
      <c r="G10" s="6">
        <f>(3075*C10)/1000</f>
        <v>61.5</v>
      </c>
      <c r="H10" s="125"/>
      <c r="I10" s="128"/>
      <c r="J10" s="130"/>
      <c r="K10" s="122"/>
    </row>
    <row r="11" spans="1:11" ht="12" customHeight="1" thickBot="1">
      <c r="A11" s="107"/>
      <c r="B11" s="30" t="s">
        <v>5</v>
      </c>
      <c r="C11" s="8">
        <v>30</v>
      </c>
      <c r="D11" s="12">
        <v>0</v>
      </c>
      <c r="E11" s="12">
        <f>C11</f>
        <v>30</v>
      </c>
      <c r="F11" s="12">
        <v>0</v>
      </c>
      <c r="G11" s="12">
        <f>9*C11</f>
        <v>270</v>
      </c>
      <c r="H11" s="126"/>
      <c r="I11" s="129"/>
      <c r="J11" s="131"/>
      <c r="K11" s="121"/>
    </row>
    <row r="12" spans="1:11" ht="12" customHeight="1" thickBot="1">
      <c r="A12" s="67" t="s">
        <v>44</v>
      </c>
      <c r="B12" s="31" t="s">
        <v>35</v>
      </c>
      <c r="C12" s="6">
        <v>30</v>
      </c>
      <c r="D12" s="6">
        <f>(635*C12)/1000</f>
        <v>19.05</v>
      </c>
      <c r="E12" s="6">
        <f>(17*C12)/10000</f>
        <v>0.051</v>
      </c>
      <c r="F12" s="6">
        <f>(33*C12)/10000</f>
        <v>0.099</v>
      </c>
      <c r="G12" s="6">
        <f>(253*C12)/100</f>
        <v>75.9</v>
      </c>
      <c r="H12" s="109"/>
      <c r="I12" s="110"/>
      <c r="J12" s="110"/>
      <c r="K12" s="13">
        <v>12</v>
      </c>
    </row>
    <row r="13" spans="1:11" ht="12" customHeight="1" thickBot="1">
      <c r="A13" s="68"/>
      <c r="B13" s="31" t="s">
        <v>38</v>
      </c>
      <c r="C13" s="6">
        <v>24.4</v>
      </c>
      <c r="D13" s="6">
        <f>(7*C13)/10</f>
        <v>17.08</v>
      </c>
      <c r="E13" s="6">
        <f>(13*C13)/100</f>
        <v>3.1719999999999997</v>
      </c>
      <c r="F13" s="6">
        <f>(1*C13)/10</f>
        <v>2.44</v>
      </c>
      <c r="G13" s="6">
        <f>(435*C13)/100</f>
        <v>106.14</v>
      </c>
      <c r="H13" s="109"/>
      <c r="I13" s="110"/>
      <c r="J13" s="110"/>
      <c r="K13" s="13">
        <v>12</v>
      </c>
    </row>
    <row r="14" spans="1:11" ht="12" customHeight="1" thickBot="1">
      <c r="A14" s="76"/>
      <c r="B14" s="34" t="s">
        <v>15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109"/>
      <c r="I14" s="111"/>
      <c r="J14" s="111"/>
      <c r="K14" s="14">
        <v>12</v>
      </c>
    </row>
    <row r="15" spans="1:11" ht="4.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15" customHeight="1" thickBot="1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23"/>
      <c r="K16" s="39"/>
    </row>
    <row r="17" spans="1:11" ht="12" customHeight="1" thickBot="1">
      <c r="A17" s="107" t="s">
        <v>9</v>
      </c>
      <c r="B17" s="29" t="s">
        <v>8</v>
      </c>
      <c r="C17" s="6">
        <v>60</v>
      </c>
      <c r="D17" s="6">
        <f>(536*C17)/1000</f>
        <v>32.16</v>
      </c>
      <c r="E17" s="6">
        <f>(3*C17)/10</f>
        <v>18</v>
      </c>
      <c r="F17" s="6">
        <f>(8*C17)/100</f>
        <v>4.8</v>
      </c>
      <c r="G17" s="6">
        <f>(516*C17)/100</f>
        <v>309.6</v>
      </c>
      <c r="H17" s="124">
        <f>SUM(C17:C22)</f>
        <v>160</v>
      </c>
      <c r="I17" s="127">
        <f>SUM(G17:G22)</f>
        <v>884.1500000000001</v>
      </c>
      <c r="J17" s="130">
        <f>I17/H17</f>
        <v>5.5259375</v>
      </c>
      <c r="K17" s="120">
        <v>12</v>
      </c>
    </row>
    <row r="18" spans="1:11" ht="12" customHeight="1" thickBot="1">
      <c r="A18" s="79"/>
      <c r="B18" s="29" t="s">
        <v>13</v>
      </c>
      <c r="C18" s="6">
        <v>25</v>
      </c>
      <c r="D18" s="6">
        <f>(58*C18)/100</f>
        <v>14.5</v>
      </c>
      <c r="E18" s="6">
        <f>(2*C18)/10</f>
        <v>5</v>
      </c>
      <c r="F18" s="6">
        <f>(7*C18)/100</f>
        <v>1.75</v>
      </c>
      <c r="G18" s="6">
        <f>(44*C18)/10</f>
        <v>110</v>
      </c>
      <c r="H18" s="125"/>
      <c r="I18" s="128"/>
      <c r="J18" s="130"/>
      <c r="K18" s="122"/>
    </row>
    <row r="19" spans="1:11" ht="12" customHeight="1" thickBot="1">
      <c r="A19" s="79"/>
      <c r="B19" s="29" t="s">
        <v>14</v>
      </c>
      <c r="C19" s="6">
        <v>15</v>
      </c>
      <c r="D19" s="6">
        <f>(8*C19)/100</f>
        <v>1.2</v>
      </c>
      <c r="E19" s="6">
        <f>(535*C19)/1000</f>
        <v>8.025</v>
      </c>
      <c r="F19" s="6">
        <f>(15*C19)/100</f>
        <v>2.25</v>
      </c>
      <c r="G19" s="6">
        <f>(579*C19)/100</f>
        <v>86.85</v>
      </c>
      <c r="H19" s="125"/>
      <c r="I19" s="128"/>
      <c r="J19" s="130"/>
      <c r="K19" s="122"/>
    </row>
    <row r="20" spans="1:11" ht="12" customHeight="1" thickBot="1">
      <c r="A20" s="79"/>
      <c r="B20" s="29" t="s">
        <v>49</v>
      </c>
      <c r="C20" s="4">
        <v>15</v>
      </c>
      <c r="D20" s="6">
        <f>(519*C20)/1000</f>
        <v>7.785</v>
      </c>
      <c r="E20" s="6">
        <f>(1*C20)/100</f>
        <v>0.15</v>
      </c>
      <c r="F20" s="6">
        <f>(353*C20)/1000</f>
        <v>5.295</v>
      </c>
      <c r="G20" s="6">
        <f>(358*C20)/100</f>
        <v>53.7</v>
      </c>
      <c r="H20" s="125"/>
      <c r="I20" s="128"/>
      <c r="J20" s="130"/>
      <c r="K20" s="122"/>
    </row>
    <row r="21" spans="1:11" ht="12" customHeight="1" thickBot="1">
      <c r="A21" s="79"/>
      <c r="B21" s="29" t="s">
        <v>7</v>
      </c>
      <c r="C21" s="6">
        <v>15</v>
      </c>
      <c r="D21" s="6">
        <f>(95*C21)/100</f>
        <v>14.25</v>
      </c>
      <c r="E21" s="6">
        <v>0</v>
      </c>
      <c r="F21" s="6">
        <v>0</v>
      </c>
      <c r="G21" s="6">
        <f>(36*C21)/10</f>
        <v>54</v>
      </c>
      <c r="H21" s="125"/>
      <c r="I21" s="128"/>
      <c r="J21" s="130"/>
      <c r="K21" s="122"/>
    </row>
    <row r="22" spans="1:11" ht="12" customHeight="1" thickBot="1">
      <c r="A22" s="79"/>
      <c r="B22" s="32" t="s">
        <v>5</v>
      </c>
      <c r="C22" s="11">
        <v>30</v>
      </c>
      <c r="D22" s="11">
        <v>0</v>
      </c>
      <c r="E22" s="11">
        <f>(1*C22)</f>
        <v>30</v>
      </c>
      <c r="F22" s="11">
        <v>0</v>
      </c>
      <c r="G22" s="11">
        <f>(9*C22)</f>
        <v>270</v>
      </c>
      <c r="H22" s="126"/>
      <c r="I22" s="129"/>
      <c r="J22" s="131"/>
      <c r="K22" s="121"/>
    </row>
    <row r="23" spans="1:11" ht="12" customHeight="1" thickBot="1">
      <c r="A23" s="79" t="s">
        <v>55</v>
      </c>
      <c r="B23" s="29" t="s">
        <v>13</v>
      </c>
      <c r="C23" s="6">
        <v>40</v>
      </c>
      <c r="D23" s="6">
        <f>(58*C23)/100</f>
        <v>23.2</v>
      </c>
      <c r="E23" s="6">
        <f>(2*C23)/10</f>
        <v>8</v>
      </c>
      <c r="F23" s="6">
        <f>(7*C23)/100</f>
        <v>2.8</v>
      </c>
      <c r="G23" s="6">
        <f>(44*C23)/10</f>
        <v>176</v>
      </c>
      <c r="H23" s="139">
        <f>SUM(C23:C27)</f>
        <v>110</v>
      </c>
      <c r="I23" s="140">
        <f>SUM(G23:G27)</f>
        <v>617.6</v>
      </c>
      <c r="J23" s="130">
        <f>I23/H23</f>
        <v>5.614545454545455</v>
      </c>
      <c r="K23" s="120">
        <v>0</v>
      </c>
    </row>
    <row r="24" spans="1:11" ht="12" customHeight="1" thickBot="1">
      <c r="A24" s="79"/>
      <c r="B24" s="29" t="s">
        <v>14</v>
      </c>
      <c r="C24" s="6">
        <v>15</v>
      </c>
      <c r="D24" s="6">
        <f>(8*C24)/100</f>
        <v>1.2</v>
      </c>
      <c r="E24" s="6">
        <f>(535*C24)/1000</f>
        <v>8.025</v>
      </c>
      <c r="F24" s="6">
        <f>(15*C24)/100</f>
        <v>2.25</v>
      </c>
      <c r="G24" s="6">
        <f>(579*C24)/100</f>
        <v>86.85</v>
      </c>
      <c r="H24" s="125"/>
      <c r="I24" s="128"/>
      <c r="J24" s="130"/>
      <c r="K24" s="122"/>
    </row>
    <row r="25" spans="1:11" ht="12" customHeight="1" thickBot="1">
      <c r="A25" s="79"/>
      <c r="B25" s="29" t="s">
        <v>7</v>
      </c>
      <c r="C25" s="6">
        <v>15</v>
      </c>
      <c r="D25" s="6">
        <f>(95*C25)/100</f>
        <v>14.25</v>
      </c>
      <c r="E25" s="6">
        <v>0</v>
      </c>
      <c r="F25" s="6">
        <v>0</v>
      </c>
      <c r="G25" s="6">
        <f>(36*C25)/10</f>
        <v>54</v>
      </c>
      <c r="H25" s="125"/>
      <c r="I25" s="128"/>
      <c r="J25" s="130"/>
      <c r="K25" s="122"/>
    </row>
    <row r="26" spans="1:11" ht="12" customHeight="1" thickBot="1">
      <c r="A26" s="79"/>
      <c r="B26" s="29" t="s">
        <v>18</v>
      </c>
      <c r="C26" s="4">
        <v>10</v>
      </c>
      <c r="D26" s="6">
        <f>(75*C26)/100</f>
        <v>7.5</v>
      </c>
      <c r="E26" s="6">
        <v>0</v>
      </c>
      <c r="F26" s="6">
        <f>(2*C26)/100</f>
        <v>0.2</v>
      </c>
      <c r="G26" s="6">
        <f>(3075*C26)/1000</f>
        <v>30.75</v>
      </c>
      <c r="H26" s="125"/>
      <c r="I26" s="128"/>
      <c r="J26" s="130"/>
      <c r="K26" s="122"/>
    </row>
    <row r="27" spans="1:11" ht="12" customHeight="1" thickBot="1">
      <c r="A27" s="79"/>
      <c r="B27" s="32" t="s">
        <v>5</v>
      </c>
      <c r="C27" s="11">
        <v>30</v>
      </c>
      <c r="D27" s="11">
        <v>0</v>
      </c>
      <c r="E27" s="11">
        <f>(1*C27)</f>
        <v>30</v>
      </c>
      <c r="F27" s="11">
        <v>0</v>
      </c>
      <c r="G27" s="11">
        <f>(9*C27)</f>
        <v>270</v>
      </c>
      <c r="H27" s="126"/>
      <c r="I27" s="129"/>
      <c r="J27" s="131"/>
      <c r="K27" s="121"/>
    </row>
    <row r="28" spans="1:11" ht="12" customHeight="1" thickBot="1">
      <c r="A28" s="67" t="s">
        <v>43</v>
      </c>
      <c r="B28" s="33" t="s">
        <v>33</v>
      </c>
      <c r="C28" s="4">
        <v>50</v>
      </c>
      <c r="D28" s="6">
        <f>(1*C28)/100</f>
        <v>0.5</v>
      </c>
      <c r="E28" s="6">
        <f>(35*C28)/100</f>
        <v>17.5</v>
      </c>
      <c r="F28" s="6">
        <f>(29*C28)/100</f>
        <v>14.5</v>
      </c>
      <c r="G28" s="6">
        <f>(435*C28)/100</f>
        <v>217.5</v>
      </c>
      <c r="H28" s="109"/>
      <c r="I28" s="110"/>
      <c r="J28" s="110"/>
      <c r="K28" s="13">
        <v>12</v>
      </c>
    </row>
    <row r="29" spans="1:11" ht="12" customHeight="1" thickBot="1">
      <c r="A29" s="68"/>
      <c r="B29" s="29" t="s">
        <v>34</v>
      </c>
      <c r="C29" s="4">
        <v>50</v>
      </c>
      <c r="D29" s="6">
        <f>(2*C29)/100</f>
        <v>1</v>
      </c>
      <c r="E29" s="6">
        <f>(352*C29)/1000</f>
        <v>17.6</v>
      </c>
      <c r="F29" s="6">
        <f>(145*C29)/1000</f>
        <v>7.25</v>
      </c>
      <c r="G29" s="6">
        <f>(383*C29)/100</f>
        <v>191.5</v>
      </c>
      <c r="H29" s="109"/>
      <c r="I29" s="110"/>
      <c r="J29" s="110"/>
      <c r="K29" s="13">
        <v>12</v>
      </c>
    </row>
    <row r="30" spans="1:11" ht="12" customHeight="1" thickBot="1">
      <c r="A30" s="76"/>
      <c r="B30" s="29" t="s">
        <v>39</v>
      </c>
      <c r="C30" s="4">
        <v>61</v>
      </c>
      <c r="D30" s="6">
        <f>(7*C30)/10</f>
        <v>42.7</v>
      </c>
      <c r="E30" s="6">
        <f>(13*C30)/100</f>
        <v>7.93</v>
      </c>
      <c r="F30" s="6">
        <f>(1*C30)/10</f>
        <v>6.1</v>
      </c>
      <c r="G30" s="6">
        <f>(435*C30)/100</f>
        <v>265.35</v>
      </c>
      <c r="H30" s="109"/>
      <c r="I30" s="110"/>
      <c r="J30" s="110"/>
      <c r="K30" s="13">
        <v>12</v>
      </c>
    </row>
    <row r="31" spans="1:11" ht="12" customHeight="1" thickBot="1">
      <c r="A31" s="76"/>
      <c r="B31" s="29" t="s">
        <v>6</v>
      </c>
      <c r="C31" s="4">
        <v>92</v>
      </c>
      <c r="D31" s="6">
        <f>(9565*C31)/10000</f>
        <v>87.998</v>
      </c>
      <c r="E31" s="6">
        <v>0</v>
      </c>
      <c r="F31" s="6">
        <v>0</v>
      </c>
      <c r="G31" s="6">
        <f>(3913*C31)/1000</f>
        <v>359.996</v>
      </c>
      <c r="H31" s="109"/>
      <c r="I31" s="111"/>
      <c r="J31" s="111"/>
      <c r="K31" s="14">
        <v>12</v>
      </c>
    </row>
    <row r="32" spans="1:11" ht="4.5" customHeight="1" thickBo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ht="15" customHeight="1" thickBot="1">
      <c r="A33" s="102" t="s">
        <v>12</v>
      </c>
      <c r="B33" s="103"/>
      <c r="C33" s="103"/>
      <c r="D33" s="103"/>
      <c r="E33" s="103"/>
      <c r="F33" s="103"/>
      <c r="G33" s="103"/>
      <c r="H33" s="103"/>
      <c r="I33" s="103"/>
      <c r="J33" s="123"/>
      <c r="K33" s="39"/>
    </row>
    <row r="34" spans="1:11" ht="12" customHeight="1" thickBot="1">
      <c r="A34" s="107" t="s">
        <v>31</v>
      </c>
      <c r="B34" s="29" t="s">
        <v>19</v>
      </c>
      <c r="C34" s="6">
        <v>100</v>
      </c>
      <c r="D34" s="6">
        <v>0</v>
      </c>
      <c r="E34" s="6">
        <f>(9*C34)/1000</f>
        <v>0.9</v>
      </c>
      <c r="F34" s="6">
        <f>(228*C34)/1000</f>
        <v>22.8</v>
      </c>
      <c r="G34" s="6">
        <f>C34</f>
        <v>100</v>
      </c>
      <c r="H34" s="143">
        <f>SUM(C34:C38)</f>
        <v>265</v>
      </c>
      <c r="I34" s="134">
        <f>SUM(G34:G38)</f>
        <v>529.6</v>
      </c>
      <c r="J34" s="131">
        <f>I34/H34</f>
        <v>1.998490566037736</v>
      </c>
      <c r="K34" s="120">
        <v>2</v>
      </c>
    </row>
    <row r="35" spans="1:11" ht="12" customHeight="1" thickBot="1">
      <c r="A35" s="79"/>
      <c r="B35" s="29" t="s">
        <v>20</v>
      </c>
      <c r="C35" s="6">
        <v>25</v>
      </c>
      <c r="D35" s="6">
        <f>(7668*C35)/10000</f>
        <v>19.17</v>
      </c>
      <c r="E35" s="6">
        <f>(348*C35)/10000</f>
        <v>0.87</v>
      </c>
      <c r="F35" s="6">
        <f>(98*C35)/1000</f>
        <v>2.45</v>
      </c>
      <c r="G35" s="6">
        <f>(378*C35)/100</f>
        <v>94.5</v>
      </c>
      <c r="H35" s="137"/>
      <c r="I35" s="135"/>
      <c r="J35" s="132"/>
      <c r="K35" s="122"/>
    </row>
    <row r="36" spans="1:11" ht="12" customHeight="1" thickBot="1">
      <c r="A36" s="79"/>
      <c r="B36" s="29" t="s">
        <v>10</v>
      </c>
      <c r="C36" s="6">
        <v>10</v>
      </c>
      <c r="D36" s="6">
        <f>(2*C36)/100</f>
        <v>0.2</v>
      </c>
      <c r="E36" s="6">
        <f>(27*C36)/100</f>
        <v>2.7</v>
      </c>
      <c r="F36" s="6">
        <f>(4*C36)/10</f>
        <v>4</v>
      </c>
      <c r="G36" s="6">
        <f>(411*C36)/100</f>
        <v>41.1</v>
      </c>
      <c r="H36" s="137"/>
      <c r="I36" s="135"/>
      <c r="J36" s="132"/>
      <c r="K36" s="122"/>
    </row>
    <row r="37" spans="1:11" ht="12" customHeight="1" thickBot="1">
      <c r="A37" s="79"/>
      <c r="B37" s="29" t="s">
        <v>37</v>
      </c>
      <c r="C37" s="6">
        <v>100</v>
      </c>
      <c r="D37" s="6">
        <f>(49*C37)/1000</f>
        <v>4.9</v>
      </c>
      <c r="E37" s="6">
        <v>0</v>
      </c>
      <c r="F37" s="6">
        <f>(1*C37)/100</f>
        <v>1</v>
      </c>
      <c r="G37" s="6">
        <f>(24*C37)/100</f>
        <v>24</v>
      </c>
      <c r="H37" s="137"/>
      <c r="I37" s="135"/>
      <c r="J37" s="132"/>
      <c r="K37" s="122"/>
    </row>
    <row r="38" spans="1:11" ht="12" customHeight="1" thickBot="1">
      <c r="A38" s="79"/>
      <c r="B38" s="32" t="s">
        <v>5</v>
      </c>
      <c r="C38" s="6">
        <v>30</v>
      </c>
      <c r="D38" s="6">
        <v>0</v>
      </c>
      <c r="E38" s="6">
        <f>C38</f>
        <v>30</v>
      </c>
      <c r="F38" s="6">
        <v>0</v>
      </c>
      <c r="G38" s="6">
        <f>9*C38</f>
        <v>270</v>
      </c>
      <c r="H38" s="137"/>
      <c r="I38" s="135"/>
      <c r="J38" s="133"/>
      <c r="K38" s="121"/>
    </row>
    <row r="39" spans="1:11" ht="12" customHeight="1" thickBot="1">
      <c r="A39" s="79" t="s">
        <v>22</v>
      </c>
      <c r="B39" s="29" t="s">
        <v>19</v>
      </c>
      <c r="C39" s="5">
        <v>100</v>
      </c>
      <c r="D39" s="5">
        <v>0</v>
      </c>
      <c r="E39" s="5">
        <f>(9*C39)/1000</f>
        <v>0.9</v>
      </c>
      <c r="F39" s="5">
        <f>(228*C39)/1000</f>
        <v>22.8</v>
      </c>
      <c r="G39" s="5">
        <f>C39</f>
        <v>100</v>
      </c>
      <c r="H39" s="136">
        <f>SUM(C39:C42)</f>
        <v>255</v>
      </c>
      <c r="I39" s="138">
        <f>SUM(G39:G42)</f>
        <v>470.5</v>
      </c>
      <c r="J39" s="132">
        <f>I39/H39</f>
        <v>1.8450980392156864</v>
      </c>
      <c r="K39" s="120">
        <v>2</v>
      </c>
    </row>
    <row r="40" spans="1:11" ht="12" customHeight="1" thickBot="1">
      <c r="A40" s="79"/>
      <c r="B40" s="29" t="s">
        <v>20</v>
      </c>
      <c r="C40" s="6">
        <v>25</v>
      </c>
      <c r="D40" s="6">
        <f>(7668*C40)/10000</f>
        <v>19.17</v>
      </c>
      <c r="E40" s="6">
        <f>(348*C40)/10000</f>
        <v>0.87</v>
      </c>
      <c r="F40" s="6">
        <f>(98*C40)/1000</f>
        <v>2.45</v>
      </c>
      <c r="G40" s="6">
        <f>(378*C40)/100</f>
        <v>94.5</v>
      </c>
      <c r="H40" s="137"/>
      <c r="I40" s="135"/>
      <c r="J40" s="132"/>
      <c r="K40" s="122"/>
    </row>
    <row r="41" spans="1:11" ht="12" customHeight="1" thickBot="1">
      <c r="A41" s="79"/>
      <c r="B41" s="29" t="s">
        <v>21</v>
      </c>
      <c r="C41" s="6">
        <v>100</v>
      </c>
      <c r="D41" s="6">
        <f>(1*C41)/100</f>
        <v>1</v>
      </c>
      <c r="E41" s="6">
        <v>0</v>
      </c>
      <c r="F41" s="6">
        <f>(55*C41)/10000</f>
        <v>0.55</v>
      </c>
      <c r="G41" s="6">
        <f>(6*C41)/100</f>
        <v>6</v>
      </c>
      <c r="H41" s="137"/>
      <c r="I41" s="135"/>
      <c r="J41" s="132"/>
      <c r="K41" s="122"/>
    </row>
    <row r="42" spans="1:11" ht="12" customHeight="1" thickBot="1">
      <c r="A42" s="79"/>
      <c r="B42" s="32" t="s">
        <v>5</v>
      </c>
      <c r="C42" s="6">
        <v>30</v>
      </c>
      <c r="D42" s="6">
        <v>0</v>
      </c>
      <c r="E42" s="6">
        <f>C42</f>
        <v>30</v>
      </c>
      <c r="F42" s="6">
        <v>0</v>
      </c>
      <c r="G42" s="6">
        <f>9*C42</f>
        <v>270</v>
      </c>
      <c r="H42" s="137"/>
      <c r="I42" s="135"/>
      <c r="J42" s="132"/>
      <c r="K42" s="121"/>
    </row>
    <row r="43" spans="1:11" ht="12" customHeight="1" thickBot="1">
      <c r="A43" s="79" t="s">
        <v>25</v>
      </c>
      <c r="B43" s="29" t="s">
        <v>19</v>
      </c>
      <c r="C43" s="5">
        <v>100</v>
      </c>
      <c r="D43" s="5">
        <v>0</v>
      </c>
      <c r="E43" s="5">
        <f>(9*C43)/1000</f>
        <v>0.9</v>
      </c>
      <c r="F43" s="5">
        <f>(228*C43)/1000</f>
        <v>22.8</v>
      </c>
      <c r="G43" s="5">
        <f>C43</f>
        <v>100</v>
      </c>
      <c r="H43" s="136">
        <f>SUM(C43:C48)</f>
        <v>375</v>
      </c>
      <c r="I43" s="138">
        <f>SUM(G43:G48)</f>
        <v>673.899</v>
      </c>
      <c r="J43" s="131">
        <f>I43/H43</f>
        <v>1.797064</v>
      </c>
      <c r="K43" s="120">
        <v>1</v>
      </c>
    </row>
    <row r="44" spans="1:11" ht="12" customHeight="1" thickBot="1">
      <c r="A44" s="79"/>
      <c r="B44" s="29" t="s">
        <v>23</v>
      </c>
      <c r="C44" s="6">
        <v>130</v>
      </c>
      <c r="D44" s="6">
        <f>(4131*C44)/10000</f>
        <v>53.703</v>
      </c>
      <c r="E44" s="6">
        <f>(127*C44)/10000</f>
        <v>1.651</v>
      </c>
      <c r="F44" s="6">
        <f>(685*C44)/10000</f>
        <v>8.905</v>
      </c>
      <c r="G44" s="6">
        <f>(20423*C44)/10000</f>
        <v>265.499</v>
      </c>
      <c r="H44" s="137"/>
      <c r="I44" s="135"/>
      <c r="J44" s="132"/>
      <c r="K44" s="122"/>
    </row>
    <row r="45" spans="1:11" ht="12" customHeight="1" thickBot="1">
      <c r="A45" s="79"/>
      <c r="B45" s="29" t="s">
        <v>24</v>
      </c>
      <c r="C45" s="6">
        <v>100</v>
      </c>
      <c r="D45" s="6">
        <f>(67*C45)/1000</f>
        <v>6.7</v>
      </c>
      <c r="E45" s="6">
        <f>(6*C45)/1000</f>
        <v>0.6</v>
      </c>
      <c r="F45" s="6">
        <f>(19*C45)/1000</f>
        <v>1.9</v>
      </c>
      <c r="G45" s="6">
        <f>(4*C45)/100</f>
        <v>4</v>
      </c>
      <c r="H45" s="137"/>
      <c r="I45" s="135"/>
      <c r="J45" s="132"/>
      <c r="K45" s="122"/>
    </row>
    <row r="46" spans="1:11" ht="12" customHeight="1" thickBot="1">
      <c r="A46" s="79"/>
      <c r="B46" s="29" t="s">
        <v>18</v>
      </c>
      <c r="C46" s="4">
        <v>10</v>
      </c>
      <c r="D46" s="6">
        <f>(75*C46)/100</f>
        <v>7.5</v>
      </c>
      <c r="E46" s="6">
        <v>0</v>
      </c>
      <c r="F46" s="6">
        <f>(2*C46)/100</f>
        <v>0.2</v>
      </c>
      <c r="G46" s="6">
        <f>(3075*C46)/1000</f>
        <v>30.75</v>
      </c>
      <c r="H46" s="137"/>
      <c r="I46" s="135"/>
      <c r="J46" s="133"/>
      <c r="K46" s="122"/>
    </row>
    <row r="47" spans="1:11" ht="12" customHeight="1" thickBot="1">
      <c r="A47" s="79"/>
      <c r="B47" s="29" t="s">
        <v>54</v>
      </c>
      <c r="C47" s="4">
        <v>5</v>
      </c>
      <c r="D47" s="6">
        <f>(139*C47)/1000</f>
        <v>0.695</v>
      </c>
      <c r="E47" s="6">
        <f>(1*C47)/1000</f>
        <v>0.005</v>
      </c>
      <c r="F47" s="6">
        <f>(4*C47)/100</f>
        <v>0.2</v>
      </c>
      <c r="G47" s="6">
        <f>(73*C47)/100</f>
        <v>3.65</v>
      </c>
      <c r="H47" s="137"/>
      <c r="I47" s="135"/>
      <c r="J47" s="133"/>
      <c r="K47" s="122"/>
    </row>
    <row r="48" spans="1:11" ht="12" customHeight="1" thickBot="1">
      <c r="A48" s="79"/>
      <c r="B48" s="32" t="s">
        <v>5</v>
      </c>
      <c r="C48" s="6">
        <v>30</v>
      </c>
      <c r="D48" s="6">
        <v>0</v>
      </c>
      <c r="E48" s="6">
        <f>C48</f>
        <v>30</v>
      </c>
      <c r="F48" s="6">
        <v>0</v>
      </c>
      <c r="G48" s="6">
        <f>9*C48</f>
        <v>270</v>
      </c>
      <c r="H48" s="137"/>
      <c r="I48" s="135"/>
      <c r="J48" s="133"/>
      <c r="K48" s="121"/>
    </row>
    <row r="49" spans="1:11" ht="12" customHeight="1" thickBot="1">
      <c r="A49" s="79" t="s">
        <v>28</v>
      </c>
      <c r="B49" s="29" t="s">
        <v>19</v>
      </c>
      <c r="C49" s="5">
        <v>100</v>
      </c>
      <c r="D49" s="5">
        <v>0</v>
      </c>
      <c r="E49" s="5">
        <f>(9*C49)/1000</f>
        <v>0.9</v>
      </c>
      <c r="F49" s="5">
        <f>(228*C49)/1000</f>
        <v>22.8</v>
      </c>
      <c r="G49" s="5">
        <f>C49</f>
        <v>100</v>
      </c>
      <c r="H49" s="136">
        <f>SUM(C49:C53)</f>
        <v>440</v>
      </c>
      <c r="I49" s="138">
        <f>SUM(G49:G53)</f>
        <v>645.1</v>
      </c>
      <c r="J49" s="132">
        <f>I49/H49</f>
        <v>1.4661363636363638</v>
      </c>
      <c r="K49" s="120">
        <v>1</v>
      </c>
    </row>
    <row r="50" spans="1:11" ht="12" customHeight="1" thickBot="1">
      <c r="A50" s="79"/>
      <c r="B50" s="29" t="s">
        <v>26</v>
      </c>
      <c r="C50" s="6">
        <v>150</v>
      </c>
      <c r="D50" s="6">
        <f>(288*C50)/1000</f>
        <v>43.2</v>
      </c>
      <c r="E50" s="6">
        <v>0</v>
      </c>
      <c r="F50" s="6">
        <f>(5*C50)/100</f>
        <v>7.5</v>
      </c>
      <c r="G50" s="6">
        <f>(136*C50)/100</f>
        <v>204</v>
      </c>
      <c r="H50" s="137"/>
      <c r="I50" s="135"/>
      <c r="J50" s="132"/>
      <c r="K50" s="122"/>
    </row>
    <row r="51" spans="1:11" ht="12" customHeight="1" thickBot="1">
      <c r="A51" s="79"/>
      <c r="B51" s="29" t="s">
        <v>10</v>
      </c>
      <c r="C51" s="6">
        <v>10</v>
      </c>
      <c r="D51" s="6">
        <f>(2*C51)/100</f>
        <v>0.2</v>
      </c>
      <c r="E51" s="6">
        <f>(27*C51)/100</f>
        <v>2.7</v>
      </c>
      <c r="F51" s="6">
        <f>(4*C51)/10</f>
        <v>4</v>
      </c>
      <c r="G51" s="6">
        <f>(411*C51)/100</f>
        <v>41.1</v>
      </c>
      <c r="H51" s="137"/>
      <c r="I51" s="135"/>
      <c r="J51" s="132"/>
      <c r="K51" s="122"/>
    </row>
    <row r="52" spans="1:11" ht="12" customHeight="1" thickBot="1">
      <c r="A52" s="79"/>
      <c r="B52" s="29" t="s">
        <v>27</v>
      </c>
      <c r="C52" s="6">
        <v>150</v>
      </c>
      <c r="D52" s="6">
        <f>(2*C52)/100</f>
        <v>3</v>
      </c>
      <c r="E52" s="6">
        <v>0</v>
      </c>
      <c r="F52" s="6">
        <f>(3*C52)/100</f>
        <v>4.5</v>
      </c>
      <c r="G52" s="6">
        <f>(2*C52)/10</f>
        <v>30</v>
      </c>
      <c r="H52" s="137"/>
      <c r="I52" s="135"/>
      <c r="J52" s="132"/>
      <c r="K52" s="122"/>
    </row>
    <row r="53" spans="1:11" ht="12" customHeight="1" thickBot="1">
      <c r="A53" s="79"/>
      <c r="B53" s="32" t="s">
        <v>5</v>
      </c>
      <c r="C53" s="6">
        <v>30</v>
      </c>
      <c r="D53" s="6">
        <v>0</v>
      </c>
      <c r="E53" s="6">
        <f>C53</f>
        <v>30</v>
      </c>
      <c r="F53" s="6">
        <v>0</v>
      </c>
      <c r="G53" s="6">
        <f>9*C53</f>
        <v>270</v>
      </c>
      <c r="H53" s="137"/>
      <c r="I53" s="135"/>
      <c r="J53" s="132"/>
      <c r="K53" s="121"/>
    </row>
    <row r="54" spans="1:11" ht="12" customHeight="1" thickBot="1">
      <c r="A54" s="79" t="s">
        <v>67</v>
      </c>
      <c r="B54" s="29" t="s">
        <v>29</v>
      </c>
      <c r="C54" s="5">
        <v>100</v>
      </c>
      <c r="D54" s="5">
        <v>0</v>
      </c>
      <c r="E54" s="5">
        <f>(2*C54)/100</f>
        <v>2</v>
      </c>
      <c r="F54" s="5">
        <f>(19*C54)/100</f>
        <v>19</v>
      </c>
      <c r="G54" s="5">
        <f>(93*C54)/100</f>
        <v>93</v>
      </c>
      <c r="H54" s="136">
        <f>SUM(C54:C57)</f>
        <v>255</v>
      </c>
      <c r="I54" s="138">
        <f>SUM(G54:G57)</f>
        <v>473.5</v>
      </c>
      <c r="J54" s="131">
        <f>I54/H54</f>
        <v>1.8568627450980393</v>
      </c>
      <c r="K54" s="120">
        <v>2</v>
      </c>
    </row>
    <row r="55" spans="1:11" ht="12" customHeight="1" thickBot="1">
      <c r="A55" s="79"/>
      <c r="B55" s="29" t="s">
        <v>20</v>
      </c>
      <c r="C55" s="6">
        <v>25</v>
      </c>
      <c r="D55" s="6">
        <f>(7668*C55)/10000</f>
        <v>19.17</v>
      </c>
      <c r="E55" s="6">
        <f>(348*C55)/10000</f>
        <v>0.87</v>
      </c>
      <c r="F55" s="6">
        <f>(98*C55)/1000</f>
        <v>2.45</v>
      </c>
      <c r="G55" s="6">
        <f>(378*C55)/100</f>
        <v>94.5</v>
      </c>
      <c r="H55" s="137"/>
      <c r="I55" s="135"/>
      <c r="J55" s="132"/>
      <c r="K55" s="122"/>
    </row>
    <row r="56" spans="1:11" ht="12" customHeight="1" thickBot="1">
      <c r="A56" s="79"/>
      <c r="B56" s="29" t="s">
        <v>30</v>
      </c>
      <c r="C56" s="6">
        <v>100</v>
      </c>
      <c r="D56" s="6">
        <f>(2*C56)/100</f>
        <v>2</v>
      </c>
      <c r="E56" s="6">
        <v>0</v>
      </c>
      <c r="F56" s="6">
        <f>(2*C56)/100</f>
        <v>2</v>
      </c>
      <c r="G56" s="6">
        <f>(16*C56)/100</f>
        <v>16</v>
      </c>
      <c r="H56" s="137"/>
      <c r="I56" s="135"/>
      <c r="J56" s="132"/>
      <c r="K56" s="122"/>
    </row>
    <row r="57" spans="1:11" ht="12" customHeight="1" thickBot="1">
      <c r="A57" s="79"/>
      <c r="B57" s="32" t="s">
        <v>5</v>
      </c>
      <c r="C57" s="11">
        <v>30</v>
      </c>
      <c r="D57" s="11">
        <v>0</v>
      </c>
      <c r="E57" s="11">
        <f>C57</f>
        <v>30</v>
      </c>
      <c r="F57" s="11">
        <v>0</v>
      </c>
      <c r="G57" s="11">
        <f>9*C57</f>
        <v>270</v>
      </c>
      <c r="H57" s="137"/>
      <c r="I57" s="135"/>
      <c r="J57" s="133"/>
      <c r="K57" s="121"/>
    </row>
    <row r="58" spans="1:11" ht="12" customHeight="1" thickBot="1">
      <c r="A58" s="79" t="s">
        <v>57</v>
      </c>
      <c r="B58" s="29" t="s">
        <v>29</v>
      </c>
      <c r="C58" s="5">
        <v>100</v>
      </c>
      <c r="D58" s="5">
        <v>0</v>
      </c>
      <c r="E58" s="5">
        <f>(2*C58)/100</f>
        <v>2</v>
      </c>
      <c r="F58" s="5">
        <f>(19*C58)/100</f>
        <v>19</v>
      </c>
      <c r="G58" s="5">
        <f>(93*C58)/100</f>
        <v>93</v>
      </c>
      <c r="H58" s="139">
        <f>SUM(C58:C61)</f>
        <v>380</v>
      </c>
      <c r="I58" s="140">
        <f>SUM(G58:G61)</f>
        <v>583</v>
      </c>
      <c r="J58" s="132">
        <f>I58/H58</f>
        <v>1.5342105263157895</v>
      </c>
      <c r="K58" s="120">
        <v>1</v>
      </c>
    </row>
    <row r="59" spans="1:11" ht="12" customHeight="1" thickBot="1">
      <c r="A59" s="79"/>
      <c r="B59" s="29" t="s">
        <v>26</v>
      </c>
      <c r="C59" s="6">
        <v>150</v>
      </c>
      <c r="D59" s="6">
        <f>(288*C59)/1000</f>
        <v>43.2</v>
      </c>
      <c r="E59" s="6">
        <v>0</v>
      </c>
      <c r="F59" s="6">
        <f>(5*C59)/100</f>
        <v>7.5</v>
      </c>
      <c r="G59" s="6">
        <f>(136*C59)/100</f>
        <v>204</v>
      </c>
      <c r="H59" s="125"/>
      <c r="I59" s="128"/>
      <c r="J59" s="132"/>
      <c r="K59" s="122"/>
    </row>
    <row r="60" spans="1:11" ht="12" customHeight="1" thickBot="1">
      <c r="A60" s="79"/>
      <c r="B60" s="29" t="s">
        <v>30</v>
      </c>
      <c r="C60" s="6">
        <v>100</v>
      </c>
      <c r="D60" s="6">
        <f>(2*C60)/100</f>
        <v>2</v>
      </c>
      <c r="E60" s="6">
        <v>0</v>
      </c>
      <c r="F60" s="6">
        <f>(2*C60)/100</f>
        <v>2</v>
      </c>
      <c r="G60" s="6">
        <f>(16*C60)/100</f>
        <v>16</v>
      </c>
      <c r="H60" s="125"/>
      <c r="I60" s="128"/>
      <c r="J60" s="132"/>
      <c r="K60" s="122"/>
    </row>
    <row r="61" spans="1:11" ht="12" customHeight="1" thickBot="1">
      <c r="A61" s="79"/>
      <c r="B61" s="32" t="s">
        <v>5</v>
      </c>
      <c r="C61" s="11">
        <v>30</v>
      </c>
      <c r="D61" s="11">
        <v>0</v>
      </c>
      <c r="E61" s="11">
        <f>C61</f>
        <v>30</v>
      </c>
      <c r="F61" s="11">
        <v>0</v>
      </c>
      <c r="G61" s="11">
        <f>9*C61</f>
        <v>270</v>
      </c>
      <c r="H61" s="126"/>
      <c r="I61" s="129"/>
      <c r="J61" s="132"/>
      <c r="K61" s="121"/>
    </row>
    <row r="62" spans="1:11" ht="12" customHeight="1" thickBot="1">
      <c r="A62" s="79" t="s">
        <v>50</v>
      </c>
      <c r="B62" s="29" t="s">
        <v>52</v>
      </c>
      <c r="C62" s="6">
        <v>100</v>
      </c>
      <c r="D62" s="6">
        <f>(152*C62)/1000</f>
        <v>15.2</v>
      </c>
      <c r="E62" s="6">
        <f>(379*C62)/1000</f>
        <v>37.9</v>
      </c>
      <c r="F62" s="6">
        <v>0</v>
      </c>
      <c r="G62" s="6">
        <f>(404*C62)/100</f>
        <v>404</v>
      </c>
      <c r="H62" s="139">
        <f>SUM(C62:C65)</f>
        <v>280</v>
      </c>
      <c r="I62" s="140">
        <f>SUM(G62:G65)</f>
        <v>889</v>
      </c>
      <c r="J62" s="131">
        <f>I62/H62</f>
        <v>3.175</v>
      </c>
      <c r="K62" s="120">
        <v>2</v>
      </c>
    </row>
    <row r="63" spans="1:11" ht="12" customHeight="1" thickBot="1">
      <c r="A63" s="79"/>
      <c r="B63" s="29" t="s">
        <v>20</v>
      </c>
      <c r="C63" s="6">
        <v>50</v>
      </c>
      <c r="D63" s="6">
        <f>(7668*C63)/10000</f>
        <v>38.34</v>
      </c>
      <c r="E63" s="6">
        <f>(348*C63)/10000</f>
        <v>1.74</v>
      </c>
      <c r="F63" s="6">
        <f>(98*C63)/1000</f>
        <v>4.9</v>
      </c>
      <c r="G63" s="6">
        <f>(378*C63)/100</f>
        <v>189</v>
      </c>
      <c r="H63" s="125"/>
      <c r="I63" s="128"/>
      <c r="J63" s="132"/>
      <c r="K63" s="122"/>
    </row>
    <row r="64" spans="1:11" ht="12" customHeight="1" thickBot="1">
      <c r="A64" s="79"/>
      <c r="B64" s="29" t="s">
        <v>53</v>
      </c>
      <c r="C64" s="6">
        <v>100</v>
      </c>
      <c r="D64" s="6">
        <f>(56*C64)/1000</f>
        <v>5.6</v>
      </c>
      <c r="E64" s="6">
        <v>0</v>
      </c>
      <c r="F64" s="6">
        <f>(1*C64)/100</f>
        <v>1</v>
      </c>
      <c r="G64" s="6">
        <f>(26*C64)/100</f>
        <v>26</v>
      </c>
      <c r="H64" s="125"/>
      <c r="I64" s="128"/>
      <c r="J64" s="132"/>
      <c r="K64" s="122"/>
    </row>
    <row r="65" spans="1:11" ht="12" customHeight="1" thickBot="1">
      <c r="A65" s="79"/>
      <c r="B65" s="32" t="s">
        <v>5</v>
      </c>
      <c r="C65" s="6">
        <v>30</v>
      </c>
      <c r="D65" s="6">
        <v>0</v>
      </c>
      <c r="E65" s="6">
        <f>C65</f>
        <v>30</v>
      </c>
      <c r="F65" s="6">
        <v>0</v>
      </c>
      <c r="G65" s="6">
        <f>9*C65</f>
        <v>270</v>
      </c>
      <c r="H65" s="126"/>
      <c r="I65" s="129"/>
      <c r="J65" s="132"/>
      <c r="K65" s="121"/>
    </row>
    <row r="66" spans="1:11" ht="12" customHeight="1" thickBot="1">
      <c r="A66" s="79" t="s">
        <v>51</v>
      </c>
      <c r="B66" s="29" t="s">
        <v>56</v>
      </c>
      <c r="C66" s="5">
        <v>100</v>
      </c>
      <c r="D66" s="5">
        <v>0</v>
      </c>
      <c r="E66" s="5">
        <f>(25*C66)/100</f>
        <v>25</v>
      </c>
      <c r="F66" s="5">
        <f>(224*C66)/1000</f>
        <v>22.4</v>
      </c>
      <c r="G66" s="5">
        <f>(315*C66)/100</f>
        <v>315</v>
      </c>
      <c r="H66" s="139">
        <f>SUM(C66:C71)</f>
        <v>345</v>
      </c>
      <c r="I66" s="140">
        <f>SUM(G66:G71)</f>
        <v>751.405</v>
      </c>
      <c r="J66" s="133">
        <f>I66/H66</f>
        <v>2.1779855072463765</v>
      </c>
      <c r="K66" s="120">
        <v>1</v>
      </c>
    </row>
    <row r="67" spans="1:11" ht="12" customHeight="1" thickBot="1">
      <c r="A67" s="79"/>
      <c r="B67" s="29" t="s">
        <v>24</v>
      </c>
      <c r="C67" s="6">
        <v>50</v>
      </c>
      <c r="D67" s="6">
        <f>(67*C67)/1000</f>
        <v>3.35</v>
      </c>
      <c r="E67" s="6">
        <f>(6*C67)/1000</f>
        <v>0.3</v>
      </c>
      <c r="F67" s="6">
        <f>(19*C67)/1000</f>
        <v>0.95</v>
      </c>
      <c r="G67" s="6">
        <f>(4*C67)/100</f>
        <v>2</v>
      </c>
      <c r="H67" s="125"/>
      <c r="I67" s="128"/>
      <c r="J67" s="130"/>
      <c r="K67" s="122"/>
    </row>
    <row r="68" spans="1:11" ht="12" customHeight="1" thickBot="1">
      <c r="A68" s="79"/>
      <c r="B68" s="29" t="s">
        <v>18</v>
      </c>
      <c r="C68" s="4">
        <v>10</v>
      </c>
      <c r="D68" s="6">
        <f>(75*C68)/100</f>
        <v>7.5</v>
      </c>
      <c r="E68" s="6">
        <v>0</v>
      </c>
      <c r="F68" s="6">
        <f>(2*C68)/100</f>
        <v>0.2</v>
      </c>
      <c r="G68" s="6">
        <f>(3075*C68)/1000</f>
        <v>30.75</v>
      </c>
      <c r="H68" s="125"/>
      <c r="I68" s="128"/>
      <c r="J68" s="130"/>
      <c r="K68" s="122"/>
    </row>
    <row r="69" spans="1:11" ht="12" customHeight="1" thickBot="1">
      <c r="A69" s="79"/>
      <c r="B69" s="29" t="s">
        <v>54</v>
      </c>
      <c r="C69" s="4">
        <v>5</v>
      </c>
      <c r="D69" s="6">
        <f>(139*C69)/1000</f>
        <v>0.695</v>
      </c>
      <c r="E69" s="6">
        <f>(1*C69)/1000</f>
        <v>0.005</v>
      </c>
      <c r="F69" s="6">
        <f>(4*C69)/100</f>
        <v>0.2</v>
      </c>
      <c r="G69" s="6">
        <f>(73*C69)/100</f>
        <v>3.65</v>
      </c>
      <c r="H69" s="125"/>
      <c r="I69" s="128"/>
      <c r="J69" s="130"/>
      <c r="K69" s="122"/>
    </row>
    <row r="70" spans="1:11" ht="12" customHeight="1" thickBot="1">
      <c r="A70" s="79"/>
      <c r="B70" s="29" t="s">
        <v>84</v>
      </c>
      <c r="C70" s="4">
        <v>150</v>
      </c>
      <c r="D70" s="6">
        <f>(1967*C70)/10000</f>
        <v>29.505</v>
      </c>
      <c r="E70" s="6">
        <v>0</v>
      </c>
      <c r="F70" s="6">
        <f>(2*C70)/100</f>
        <v>3</v>
      </c>
      <c r="G70" s="6">
        <f>(8667*C70)/10000</f>
        <v>130.005</v>
      </c>
      <c r="H70" s="125"/>
      <c r="I70" s="128"/>
      <c r="J70" s="130"/>
      <c r="K70" s="122"/>
    </row>
    <row r="71" spans="1:11" ht="12" customHeight="1" thickBot="1">
      <c r="A71" s="79"/>
      <c r="B71" s="32" t="s">
        <v>5</v>
      </c>
      <c r="C71" s="11">
        <v>30</v>
      </c>
      <c r="D71" s="11">
        <v>0</v>
      </c>
      <c r="E71" s="11">
        <f>C71</f>
        <v>30</v>
      </c>
      <c r="F71" s="11">
        <v>0</v>
      </c>
      <c r="G71" s="11">
        <f>9*C71</f>
        <v>270</v>
      </c>
      <c r="H71" s="126"/>
      <c r="I71" s="129"/>
      <c r="J71" s="131"/>
      <c r="K71" s="121"/>
    </row>
    <row r="72" spans="1:11" ht="12" customHeight="1" thickBot="1">
      <c r="A72" s="79" t="s">
        <v>43</v>
      </c>
      <c r="B72" s="29" t="s">
        <v>11</v>
      </c>
      <c r="C72" s="6">
        <v>45</v>
      </c>
      <c r="D72" s="6">
        <f>(6*C72)/10</f>
        <v>27</v>
      </c>
      <c r="E72" s="6">
        <f>(133*C72)/1000</f>
        <v>5.985</v>
      </c>
      <c r="F72" s="6">
        <f>(1*C72)/10</f>
        <v>4.5</v>
      </c>
      <c r="G72" s="6">
        <f>(4*C72)</f>
        <v>180</v>
      </c>
      <c r="H72" s="98"/>
      <c r="I72" s="116"/>
      <c r="J72" s="116"/>
      <c r="K72" s="13">
        <v>12</v>
      </c>
    </row>
    <row r="73" spans="1:11" ht="12" customHeight="1" thickBot="1">
      <c r="A73" s="79"/>
      <c r="B73" s="29" t="s">
        <v>38</v>
      </c>
      <c r="C73" s="4">
        <v>24.4</v>
      </c>
      <c r="D73" s="6">
        <f>(7*C73)/10</f>
        <v>17.08</v>
      </c>
      <c r="E73" s="6">
        <f>(13*C73)/100</f>
        <v>3.1719999999999997</v>
      </c>
      <c r="F73" s="6">
        <f>(1*C73)/10</f>
        <v>2.44</v>
      </c>
      <c r="G73" s="6">
        <f>(435*C73)/100</f>
        <v>106.14</v>
      </c>
      <c r="H73" s="98"/>
      <c r="I73" s="116"/>
      <c r="J73" s="116"/>
      <c r="K73" s="13">
        <v>12</v>
      </c>
    </row>
    <row r="74" spans="1:11" ht="12" customHeight="1" thickBot="1">
      <c r="A74" s="79"/>
      <c r="B74" s="29" t="s">
        <v>15</v>
      </c>
      <c r="C74" s="6">
        <v>4</v>
      </c>
      <c r="D74" s="6">
        <v>0</v>
      </c>
      <c r="E74" s="6">
        <v>0</v>
      </c>
      <c r="F74" s="6">
        <v>0</v>
      </c>
      <c r="G74" s="6">
        <v>0</v>
      </c>
      <c r="H74" s="98"/>
      <c r="I74" s="116"/>
      <c r="J74" s="116"/>
      <c r="K74" s="13">
        <v>12</v>
      </c>
    </row>
    <row r="75" spans="1:11" ht="12" customHeight="1" thickBot="1">
      <c r="A75" s="79"/>
      <c r="B75" s="34" t="s">
        <v>16</v>
      </c>
      <c r="C75" s="6">
        <v>2</v>
      </c>
      <c r="D75" s="6">
        <v>0</v>
      </c>
      <c r="E75" s="6">
        <v>0</v>
      </c>
      <c r="F75" s="6">
        <v>0</v>
      </c>
      <c r="G75" s="6">
        <v>0</v>
      </c>
      <c r="H75" s="98"/>
      <c r="I75" s="116"/>
      <c r="J75" s="116"/>
      <c r="K75" s="13">
        <v>12</v>
      </c>
    </row>
    <row r="76" spans="1:11" ht="12" customHeight="1" thickBot="1">
      <c r="A76" s="67"/>
      <c r="B76" s="29" t="s">
        <v>17</v>
      </c>
      <c r="C76" s="6">
        <v>50</v>
      </c>
      <c r="D76" s="6">
        <f>C76</f>
        <v>50</v>
      </c>
      <c r="E76" s="6">
        <v>0</v>
      </c>
      <c r="F76" s="6">
        <v>0</v>
      </c>
      <c r="G76" s="6">
        <f>C76*4</f>
        <v>200</v>
      </c>
      <c r="H76" s="98"/>
      <c r="I76" s="116"/>
      <c r="J76" s="116"/>
      <c r="K76" s="14">
        <v>12</v>
      </c>
    </row>
    <row r="77" spans="1:11" ht="4.5" customHeight="1" thickBot="1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6"/>
    </row>
    <row r="78" spans="2:7" ht="13.5" thickBot="1">
      <c r="B78" s="43" t="s">
        <v>72</v>
      </c>
      <c r="C78" s="38">
        <f>(SUM(C6:C14))+(SUM(C17:C27)/2)+SUM(C28:C31)+(SUM(C34:C71)/8)+SUM(C72:C76)</f>
        <v>1059.175</v>
      </c>
      <c r="D78" s="46">
        <f>(SUM(D6:D14))+(SUM(D17:D27)/2)+SUM(D28:D31)+(SUM(D34:D71)/8)+SUM(D72:D76)</f>
        <v>446.97275</v>
      </c>
      <c r="E78" s="46">
        <f>(SUM(E6:E14))+(SUM(E17:E27)/2)+SUM(E28:E31)+(SUM(E34:E71)/8)+SUM(E72:E76)</f>
        <v>200.093875</v>
      </c>
      <c r="F78" s="46">
        <f>(SUM(F6:F14))+(SUM(F17:F27)/2)+SUM(F28:F31)+(SUM(F34:F71)/8)+SUM(F72:F76)</f>
        <v>85.453875</v>
      </c>
      <c r="G78" s="38">
        <f>(SUM(G6:G14))+(SUM(G17:G27)/2)+SUM(G28:G31)+(SUM(G34:G71)/8)+SUM(G72:G76)</f>
        <v>3927.551</v>
      </c>
    </row>
    <row r="79" spans="2:7" ht="13.5" thickBot="1">
      <c r="B79" s="50" t="s">
        <v>76</v>
      </c>
      <c r="C79" s="20"/>
      <c r="D79" s="52">
        <f>((D78*4)/G78)</f>
        <v>0.4552177680187985</v>
      </c>
      <c r="E79" s="52">
        <f>((E78*9)/G78)</f>
        <v>0.45851597471299543</v>
      </c>
      <c r="F79" s="52">
        <f>((F78*4)/G78)*1</f>
        <v>0.08703018751379676</v>
      </c>
      <c r="G79" s="53">
        <f>G78/C78</f>
        <v>3.708122831449005</v>
      </c>
    </row>
    <row r="80" spans="2:7" ht="4.5" customHeight="1" thickBot="1">
      <c r="B80" s="104"/>
      <c r="C80" s="105"/>
      <c r="D80" s="105"/>
      <c r="E80" s="105"/>
      <c r="F80" s="105"/>
      <c r="G80" s="106"/>
    </row>
    <row r="81" ht="13.5" thickBot="1">
      <c r="B81" s="44" t="s">
        <v>73</v>
      </c>
    </row>
    <row r="82" spans="2:7" ht="12" customHeight="1" thickBot="1">
      <c r="B82" s="49" t="s">
        <v>74</v>
      </c>
      <c r="C82" s="47">
        <f>SUM(C6:C14)</f>
        <v>221.4</v>
      </c>
      <c r="D82" s="47">
        <f>SUM(D6:D14)</f>
        <v>121.92249999999999</v>
      </c>
      <c r="E82" s="47">
        <f>SUM(E6:E14)</f>
        <v>53.9555</v>
      </c>
      <c r="F82" s="47">
        <f>SUM(F6:F14)</f>
        <v>14.3095</v>
      </c>
      <c r="G82" s="47">
        <f>SUM(G6:G14)</f>
        <v>1029.1895</v>
      </c>
    </row>
    <row r="83" spans="2:7" ht="12" customHeight="1" thickBot="1">
      <c r="B83" s="50" t="s">
        <v>76</v>
      </c>
      <c r="C83" s="48"/>
      <c r="D83" s="52">
        <f>((D82*4)/G82)</f>
        <v>0.47385831277913343</v>
      </c>
      <c r="E83" s="52">
        <f>((E82*9)/G82)</f>
        <v>0.47182710278330675</v>
      </c>
      <c r="F83" s="52">
        <f>((F82*4)/G82)</f>
        <v>0.05561463656595797</v>
      </c>
      <c r="G83" s="53">
        <f>G82/C82</f>
        <v>4.648552393857272</v>
      </c>
    </row>
    <row r="84" spans="2:7" ht="12" customHeight="1" thickBot="1">
      <c r="B84" s="49" t="s">
        <v>75</v>
      </c>
      <c r="C84" s="47">
        <f>SUM(C17:C27)/2+SUM(C28:C31)</f>
        <v>388</v>
      </c>
      <c r="D84" s="47">
        <f>SUM(D17:D27)/2+SUM(D28:D31)</f>
        <v>190.22050000000002</v>
      </c>
      <c r="E84" s="47">
        <f>SUM(E17:E27)/2+SUM(E28:E31)</f>
        <v>96.63</v>
      </c>
      <c r="F84" s="47">
        <f>SUM(F17:F27)/2+SUM(F28:F31)</f>
        <v>37.5225</v>
      </c>
      <c r="G84" s="47">
        <f>SUM(G17:G27)/2+SUM(G28:G31)</f>
        <v>1785.221</v>
      </c>
    </row>
    <row r="85" spans="2:7" ht="12" customHeight="1" thickBot="1">
      <c r="B85" s="50" t="s">
        <v>76</v>
      </c>
      <c r="C85" s="48"/>
      <c r="D85" s="52">
        <f>((D84*4)/G84)</f>
        <v>0.42621165670804906</v>
      </c>
      <c r="E85" s="52">
        <f>((E84*9)/G84)</f>
        <v>0.48714977025253453</v>
      </c>
      <c r="F85" s="52">
        <f>((F84*4)/G84)</f>
        <v>0.08407362449803134</v>
      </c>
      <c r="G85" s="53">
        <f>G84/C84</f>
        <v>4.6010850515463915</v>
      </c>
    </row>
    <row r="86" spans="2:7" ht="12" customHeight="1" thickBot="1">
      <c r="B86" s="49" t="s">
        <v>12</v>
      </c>
      <c r="C86" s="47">
        <f>SUM(C34:C71)/8+SUM(C72:C76)</f>
        <v>449.775</v>
      </c>
      <c r="D86" s="47">
        <f>SUM(D34:D71)/8+SUM(D72:D76)</f>
        <v>134.82975</v>
      </c>
      <c r="E86" s="47">
        <f>SUM(E34:E71)/8+SUM(E72:E76)</f>
        <v>49.508375</v>
      </c>
      <c r="F86" s="47">
        <f>SUM(F34:F71)/8+SUM(F72:F76)</f>
        <v>33.621874999999996</v>
      </c>
      <c r="G86" s="47">
        <f>SUM(G34:G71)/8+SUM(G72:G76)</f>
        <v>1113.1405</v>
      </c>
    </row>
    <row r="87" spans="2:9" ht="13.5" thickBot="1">
      <c r="B87" s="50" t="s">
        <v>76</v>
      </c>
      <c r="C87" s="48"/>
      <c r="D87" s="52">
        <f>((D86*4)/G86)</f>
        <v>0.484502180991528</v>
      </c>
      <c r="E87" s="52">
        <f>((E86*9)/G86)</f>
        <v>0.40028673379506</v>
      </c>
      <c r="F87" s="52">
        <f>((F86*4)/G86)</f>
        <v>0.12081808181446994</v>
      </c>
      <c r="G87" s="53">
        <f>G86/C86</f>
        <v>2.474882997054083</v>
      </c>
      <c r="I87" s="51"/>
    </row>
    <row r="88" spans="3:7" ht="12.75">
      <c r="C88" s="45"/>
      <c r="D88" s="45"/>
      <c r="E88" s="45"/>
      <c r="F88" s="45"/>
      <c r="G88" s="45"/>
    </row>
  </sheetData>
  <mergeCells count="81">
    <mergeCell ref="A12:A14"/>
    <mergeCell ref="A15:K15"/>
    <mergeCell ref="B80:G80"/>
    <mergeCell ref="A2:B3"/>
    <mergeCell ref="A54:A57"/>
    <mergeCell ref="A77:K77"/>
    <mergeCell ref="A23:A27"/>
    <mergeCell ref="A33:J33"/>
    <mergeCell ref="A34:A38"/>
    <mergeCell ref="H34:H38"/>
    <mergeCell ref="A5:J5"/>
    <mergeCell ref="A6:A11"/>
    <mergeCell ref="H6:H11"/>
    <mergeCell ref="I6:I11"/>
    <mergeCell ref="J6:J11"/>
    <mergeCell ref="I2:I3"/>
    <mergeCell ref="J2:J3"/>
    <mergeCell ref="A4:G4"/>
    <mergeCell ref="H4:J4"/>
    <mergeCell ref="C2:C3"/>
    <mergeCell ref="D2:D3"/>
    <mergeCell ref="E2:E3"/>
    <mergeCell ref="G2:G3"/>
    <mergeCell ref="H2:H3"/>
    <mergeCell ref="F2:F3"/>
    <mergeCell ref="H23:H27"/>
    <mergeCell ref="I23:I27"/>
    <mergeCell ref="J23:J27"/>
    <mergeCell ref="A28:A31"/>
    <mergeCell ref="H28:J31"/>
    <mergeCell ref="H43:H48"/>
    <mergeCell ref="I43:I48"/>
    <mergeCell ref="J43:J48"/>
    <mergeCell ref="A49:A53"/>
    <mergeCell ref="H49:H53"/>
    <mergeCell ref="I49:I53"/>
    <mergeCell ref="J49:J53"/>
    <mergeCell ref="A43:A48"/>
    <mergeCell ref="A58:A61"/>
    <mergeCell ref="H58:H61"/>
    <mergeCell ref="I58:I61"/>
    <mergeCell ref="J58:J61"/>
    <mergeCell ref="K62:K65"/>
    <mergeCell ref="A72:A76"/>
    <mergeCell ref="H72:J76"/>
    <mergeCell ref="A62:A65"/>
    <mergeCell ref="H62:H65"/>
    <mergeCell ref="I62:I65"/>
    <mergeCell ref="J62:J65"/>
    <mergeCell ref="A66:A71"/>
    <mergeCell ref="K66:K71"/>
    <mergeCell ref="K43:K48"/>
    <mergeCell ref="K49:K53"/>
    <mergeCell ref="H66:H71"/>
    <mergeCell ref="I66:I71"/>
    <mergeCell ref="J66:J71"/>
    <mergeCell ref="H54:H57"/>
    <mergeCell ref="I54:I57"/>
    <mergeCell ref="J54:J57"/>
    <mergeCell ref="K54:K57"/>
    <mergeCell ref="K58:K61"/>
    <mergeCell ref="K23:K27"/>
    <mergeCell ref="K34:K38"/>
    <mergeCell ref="K39:K42"/>
    <mergeCell ref="J34:J38"/>
    <mergeCell ref="A32:K32"/>
    <mergeCell ref="I34:I38"/>
    <mergeCell ref="A39:A42"/>
    <mergeCell ref="H39:H42"/>
    <mergeCell ref="I39:I42"/>
    <mergeCell ref="J39:J42"/>
    <mergeCell ref="K2:K3"/>
    <mergeCell ref="A1:K1"/>
    <mergeCell ref="K6:K11"/>
    <mergeCell ref="K17:K22"/>
    <mergeCell ref="H12:J14"/>
    <mergeCell ref="A16:J16"/>
    <mergeCell ref="A17:A22"/>
    <mergeCell ref="H17:H22"/>
    <mergeCell ref="I17:I22"/>
    <mergeCell ref="J17:J22"/>
  </mergeCells>
  <printOptions horizontalCentered="1" verticalCentered="1"/>
  <pageMargins left="0" right="0.75" top="0" bottom="0" header="0.492125984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="121" zoomScaleNormal="121" workbookViewId="0" topLeftCell="A64">
      <selection activeCell="C86" sqref="C86"/>
    </sheetView>
  </sheetViews>
  <sheetFormatPr defaultColWidth="11.421875" defaultRowHeight="12.75"/>
  <cols>
    <col min="1" max="1" width="10.7109375" style="28" customWidth="1"/>
    <col min="2" max="2" width="25.7109375" style="1" customWidth="1"/>
    <col min="3" max="7" width="5.7109375" style="1" customWidth="1"/>
    <col min="8" max="11" width="5.7109375" style="3" customWidth="1"/>
    <col min="12" max="16384" width="11.421875" style="1" customWidth="1"/>
  </cols>
  <sheetData>
    <row r="1" spans="1:11" ht="15" customHeight="1" thickBot="1">
      <c r="A1" s="81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2" customFormat="1" ht="15" customHeight="1">
      <c r="A2" s="141" t="s">
        <v>0</v>
      </c>
      <c r="B2" s="142"/>
      <c r="C2" s="76" t="s">
        <v>45</v>
      </c>
      <c r="D2" s="76" t="s">
        <v>36</v>
      </c>
      <c r="E2" s="76" t="s">
        <v>64</v>
      </c>
      <c r="F2" s="76" t="s">
        <v>65</v>
      </c>
      <c r="G2" s="76" t="s">
        <v>66</v>
      </c>
      <c r="H2" s="76" t="s">
        <v>40</v>
      </c>
      <c r="I2" s="76" t="s">
        <v>41</v>
      </c>
      <c r="J2" s="76" t="s">
        <v>42</v>
      </c>
      <c r="K2" s="120" t="s">
        <v>69</v>
      </c>
    </row>
    <row r="3" spans="1:11" ht="15" customHeight="1" thickBot="1">
      <c r="A3" s="102"/>
      <c r="B3" s="123"/>
      <c r="C3" s="77"/>
      <c r="D3" s="77"/>
      <c r="E3" s="77"/>
      <c r="F3" s="77"/>
      <c r="G3" s="77"/>
      <c r="H3" s="78"/>
      <c r="I3" s="78"/>
      <c r="J3" s="78"/>
      <c r="K3" s="121"/>
    </row>
    <row r="4" spans="1:10" ht="4.5" customHeight="1" thickBot="1">
      <c r="A4" s="101"/>
      <c r="B4" s="101"/>
      <c r="C4" s="101"/>
      <c r="D4" s="101"/>
      <c r="E4" s="101"/>
      <c r="F4" s="101"/>
      <c r="G4" s="101"/>
      <c r="H4" s="80"/>
      <c r="I4" s="80"/>
      <c r="J4" s="80"/>
    </row>
    <row r="5" spans="1:10" ht="15" customHeight="1" thickBot="1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3"/>
    </row>
    <row r="6" spans="1:11" ht="12" customHeight="1">
      <c r="A6" s="68" t="s">
        <v>32</v>
      </c>
      <c r="B6" s="29" t="s">
        <v>13</v>
      </c>
      <c r="C6" s="4">
        <v>60</v>
      </c>
      <c r="D6" s="6">
        <f>(58*C6)/100</f>
        <v>34.8</v>
      </c>
      <c r="E6" s="6">
        <f>(2*C6)/10</f>
        <v>12</v>
      </c>
      <c r="F6" s="6">
        <f>(693*C6)/10000</f>
        <v>4.158</v>
      </c>
      <c r="G6" s="6">
        <f>(44*C6)/10</f>
        <v>264</v>
      </c>
      <c r="H6" s="125">
        <f>SUM(C6:C11)</f>
        <v>165</v>
      </c>
      <c r="I6" s="127">
        <f>SUM(G6:G11)</f>
        <v>847.1495</v>
      </c>
      <c r="J6" s="130">
        <f>I6/H6</f>
        <v>5.134239393939394</v>
      </c>
      <c r="K6" s="120">
        <v>12</v>
      </c>
    </row>
    <row r="7" spans="1:11" ht="12" customHeight="1">
      <c r="A7" s="68"/>
      <c r="B7" s="29" t="s">
        <v>3</v>
      </c>
      <c r="C7" s="4">
        <v>25</v>
      </c>
      <c r="D7" s="6">
        <f>(5433*C7)/10000</f>
        <v>13.5825</v>
      </c>
      <c r="E7" s="6">
        <f>(3433*C7)/10000</f>
        <v>8.5825</v>
      </c>
      <c r="F7" s="6">
        <f>(767*C7)/10000</f>
        <v>1.9175</v>
      </c>
      <c r="G7" s="6">
        <f>(55667*C7)/10000</f>
        <v>139.1675</v>
      </c>
      <c r="H7" s="125"/>
      <c r="I7" s="128"/>
      <c r="J7" s="130"/>
      <c r="K7" s="122"/>
    </row>
    <row r="8" spans="1:11" ht="12" customHeight="1">
      <c r="A8" s="68"/>
      <c r="B8" s="29" t="s">
        <v>49</v>
      </c>
      <c r="C8" s="4">
        <v>15</v>
      </c>
      <c r="D8" s="6">
        <f>(519*C8)/1000</f>
        <v>7.785</v>
      </c>
      <c r="E8" s="6">
        <f>(1*C8)/100</f>
        <v>0.15</v>
      </c>
      <c r="F8" s="6">
        <f>(353*C8)/1000</f>
        <v>5.295</v>
      </c>
      <c r="G8" s="6">
        <f>(358*C8)/100</f>
        <v>53.7</v>
      </c>
      <c r="H8" s="125"/>
      <c r="I8" s="128"/>
      <c r="J8" s="130"/>
      <c r="K8" s="122"/>
    </row>
    <row r="9" spans="1:11" ht="12" customHeight="1">
      <c r="A9" s="68"/>
      <c r="B9" s="29" t="s">
        <v>4</v>
      </c>
      <c r="C9" s="4">
        <v>15</v>
      </c>
      <c r="D9" s="6">
        <f>(975*C9)/1000</f>
        <v>14.625</v>
      </c>
      <c r="E9" s="6">
        <v>0</v>
      </c>
      <c r="F9" s="6">
        <v>0</v>
      </c>
      <c r="G9" s="6">
        <f>(39188*C9)/10000</f>
        <v>58.782</v>
      </c>
      <c r="H9" s="125"/>
      <c r="I9" s="128"/>
      <c r="J9" s="130"/>
      <c r="K9" s="122"/>
    </row>
    <row r="10" spans="1:11" ht="12" customHeight="1">
      <c r="A10" s="68"/>
      <c r="B10" s="29" t="s">
        <v>18</v>
      </c>
      <c r="C10" s="4">
        <v>20</v>
      </c>
      <c r="D10" s="6">
        <f>(75*C10)/100</f>
        <v>15</v>
      </c>
      <c r="E10" s="6">
        <v>0</v>
      </c>
      <c r="F10" s="6">
        <f>(2*C10)/100</f>
        <v>0.4</v>
      </c>
      <c r="G10" s="6">
        <f>(3075*C10)/1000</f>
        <v>61.5</v>
      </c>
      <c r="H10" s="125"/>
      <c r="I10" s="128"/>
      <c r="J10" s="130"/>
      <c r="K10" s="122"/>
    </row>
    <row r="11" spans="1:11" ht="12" customHeight="1" thickBot="1">
      <c r="A11" s="107"/>
      <c r="B11" s="30" t="s">
        <v>5</v>
      </c>
      <c r="C11" s="8">
        <v>30</v>
      </c>
      <c r="D11" s="12">
        <v>0</v>
      </c>
      <c r="E11" s="12">
        <f>C11</f>
        <v>30</v>
      </c>
      <c r="F11" s="12">
        <v>0</v>
      </c>
      <c r="G11" s="12">
        <f>9*C11</f>
        <v>270</v>
      </c>
      <c r="H11" s="126"/>
      <c r="I11" s="129"/>
      <c r="J11" s="131"/>
      <c r="K11" s="121"/>
    </row>
    <row r="12" spans="1:11" ht="12" customHeight="1" thickBot="1">
      <c r="A12" s="67" t="s">
        <v>44</v>
      </c>
      <c r="B12" s="31" t="s">
        <v>35</v>
      </c>
      <c r="C12" s="6">
        <v>30</v>
      </c>
      <c r="D12" s="6">
        <f>(635*C12)/1000</f>
        <v>19.05</v>
      </c>
      <c r="E12" s="6">
        <f>(17*C12)/10000</f>
        <v>0.051</v>
      </c>
      <c r="F12" s="6">
        <f>(33*C12)/10000</f>
        <v>0.099</v>
      </c>
      <c r="G12" s="6">
        <f>(253*C12)/100</f>
        <v>75.9</v>
      </c>
      <c r="H12" s="109"/>
      <c r="I12" s="110"/>
      <c r="J12" s="110"/>
      <c r="K12" s="13">
        <v>12</v>
      </c>
    </row>
    <row r="13" spans="1:11" ht="12" customHeight="1" thickBot="1">
      <c r="A13" s="68"/>
      <c r="B13" s="31" t="s">
        <v>38</v>
      </c>
      <c r="C13" s="6">
        <v>24.4</v>
      </c>
      <c r="D13" s="6">
        <f>(7*C13)/10</f>
        <v>17.08</v>
      </c>
      <c r="E13" s="6">
        <f>(13*C13)/100</f>
        <v>3.1719999999999997</v>
      </c>
      <c r="F13" s="6">
        <f>(1*C13)/10</f>
        <v>2.44</v>
      </c>
      <c r="G13" s="6">
        <f>(435*C13)/100</f>
        <v>106.14</v>
      </c>
      <c r="H13" s="109"/>
      <c r="I13" s="110"/>
      <c r="J13" s="110"/>
      <c r="K13" s="13">
        <v>12</v>
      </c>
    </row>
    <row r="14" spans="1:11" ht="12" customHeight="1" thickBot="1">
      <c r="A14" s="76"/>
      <c r="B14" s="34" t="s">
        <v>15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109"/>
      <c r="I14" s="111"/>
      <c r="J14" s="111"/>
      <c r="K14" s="14">
        <v>12</v>
      </c>
    </row>
    <row r="15" spans="1:11" ht="4.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15" customHeight="1" thickBot="1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23"/>
      <c r="K16" s="39"/>
    </row>
    <row r="17" spans="1:11" ht="12" customHeight="1" thickBot="1">
      <c r="A17" s="107" t="s">
        <v>9</v>
      </c>
      <c r="B17" s="29" t="s">
        <v>8</v>
      </c>
      <c r="C17" s="6">
        <v>60</v>
      </c>
      <c r="D17" s="6">
        <f>(536*C17)/1000</f>
        <v>32.16</v>
      </c>
      <c r="E17" s="6">
        <f>(3*C17)/10</f>
        <v>18</v>
      </c>
      <c r="F17" s="6">
        <f>(8*C17)/100</f>
        <v>4.8</v>
      </c>
      <c r="G17" s="6">
        <f>(516*C17)/100</f>
        <v>309.6</v>
      </c>
      <c r="H17" s="124">
        <f>SUM(C17:C22)</f>
        <v>160</v>
      </c>
      <c r="I17" s="127">
        <f>SUM(G17:G22)</f>
        <v>884.1500000000001</v>
      </c>
      <c r="J17" s="130">
        <f>I17/H17</f>
        <v>5.5259375</v>
      </c>
      <c r="K17" s="120">
        <v>6</v>
      </c>
    </row>
    <row r="18" spans="1:11" ht="12" customHeight="1" thickBot="1">
      <c r="A18" s="79"/>
      <c r="B18" s="29" t="s">
        <v>13</v>
      </c>
      <c r="C18" s="6">
        <v>25</v>
      </c>
      <c r="D18" s="6">
        <f>(58*C18)/100</f>
        <v>14.5</v>
      </c>
      <c r="E18" s="6">
        <f>(2*C18)/10</f>
        <v>5</v>
      </c>
      <c r="F18" s="6">
        <f>(7*C18)/100</f>
        <v>1.75</v>
      </c>
      <c r="G18" s="6">
        <f>(44*C18)/10</f>
        <v>110</v>
      </c>
      <c r="H18" s="125"/>
      <c r="I18" s="128"/>
      <c r="J18" s="130"/>
      <c r="K18" s="122"/>
    </row>
    <row r="19" spans="1:11" ht="12" customHeight="1" thickBot="1">
      <c r="A19" s="79"/>
      <c r="B19" s="29" t="s">
        <v>14</v>
      </c>
      <c r="C19" s="6">
        <v>15</v>
      </c>
      <c r="D19" s="6">
        <f>(8*C19)/100</f>
        <v>1.2</v>
      </c>
      <c r="E19" s="6">
        <f>(535*C19)/1000</f>
        <v>8.025</v>
      </c>
      <c r="F19" s="6">
        <f>(15*C19)/100</f>
        <v>2.25</v>
      </c>
      <c r="G19" s="6">
        <f>(579*C19)/100</f>
        <v>86.85</v>
      </c>
      <c r="H19" s="125"/>
      <c r="I19" s="128"/>
      <c r="J19" s="130"/>
      <c r="K19" s="122"/>
    </row>
    <row r="20" spans="1:11" ht="12" customHeight="1" thickBot="1">
      <c r="A20" s="79"/>
      <c r="B20" s="29" t="s">
        <v>49</v>
      </c>
      <c r="C20" s="4">
        <v>15</v>
      </c>
      <c r="D20" s="6">
        <f>(519*C20)/1000</f>
        <v>7.785</v>
      </c>
      <c r="E20" s="6">
        <f>(1*C20)/100</f>
        <v>0.15</v>
      </c>
      <c r="F20" s="6">
        <f>(353*C20)/1000</f>
        <v>5.295</v>
      </c>
      <c r="G20" s="6">
        <f>(358*C20)/100</f>
        <v>53.7</v>
      </c>
      <c r="H20" s="125"/>
      <c r="I20" s="128"/>
      <c r="J20" s="130"/>
      <c r="K20" s="122"/>
    </row>
    <row r="21" spans="1:11" ht="12" customHeight="1" thickBot="1">
      <c r="A21" s="79"/>
      <c r="B21" s="29" t="s">
        <v>7</v>
      </c>
      <c r="C21" s="6">
        <v>15</v>
      </c>
      <c r="D21" s="6">
        <f>(95*C21)/100</f>
        <v>14.25</v>
      </c>
      <c r="E21" s="6">
        <v>0</v>
      </c>
      <c r="F21" s="6">
        <v>0</v>
      </c>
      <c r="G21" s="6">
        <f>(36*C21)/10</f>
        <v>54</v>
      </c>
      <c r="H21" s="125"/>
      <c r="I21" s="128"/>
      <c r="J21" s="130"/>
      <c r="K21" s="122"/>
    </row>
    <row r="22" spans="1:11" ht="12" customHeight="1" thickBot="1">
      <c r="A22" s="79"/>
      <c r="B22" s="32" t="s">
        <v>5</v>
      </c>
      <c r="C22" s="11">
        <v>30</v>
      </c>
      <c r="D22" s="11">
        <v>0</v>
      </c>
      <c r="E22" s="11">
        <f>(1*C22)</f>
        <v>30</v>
      </c>
      <c r="F22" s="11">
        <v>0</v>
      </c>
      <c r="G22" s="11">
        <f>(9*C22)</f>
        <v>270</v>
      </c>
      <c r="H22" s="126"/>
      <c r="I22" s="129"/>
      <c r="J22" s="131"/>
      <c r="K22" s="121"/>
    </row>
    <row r="23" spans="1:11" ht="12" customHeight="1" thickBot="1">
      <c r="A23" s="79" t="s">
        <v>55</v>
      </c>
      <c r="B23" s="29" t="s">
        <v>13</v>
      </c>
      <c r="C23" s="6">
        <v>40</v>
      </c>
      <c r="D23" s="6">
        <f>(58*C23)/100</f>
        <v>23.2</v>
      </c>
      <c r="E23" s="6">
        <f>(2*C23)/10</f>
        <v>8</v>
      </c>
      <c r="F23" s="6">
        <f>(7*C23)/100</f>
        <v>2.8</v>
      </c>
      <c r="G23" s="6">
        <f>(44*C23)/10</f>
        <v>176</v>
      </c>
      <c r="H23" s="139">
        <f>SUM(C23:C27)</f>
        <v>110</v>
      </c>
      <c r="I23" s="140">
        <f>SUM(G23:G27)</f>
        <v>617.6</v>
      </c>
      <c r="J23" s="130">
        <f>I23/H23</f>
        <v>5.614545454545455</v>
      </c>
      <c r="K23" s="120">
        <v>6</v>
      </c>
    </row>
    <row r="24" spans="1:11" ht="12" customHeight="1" thickBot="1">
      <c r="A24" s="79"/>
      <c r="B24" s="29" t="s">
        <v>14</v>
      </c>
      <c r="C24" s="6">
        <v>15</v>
      </c>
      <c r="D24" s="6">
        <f>(8*C24)/100</f>
        <v>1.2</v>
      </c>
      <c r="E24" s="6">
        <f>(535*C24)/1000</f>
        <v>8.025</v>
      </c>
      <c r="F24" s="6">
        <f>(15*C24)/100</f>
        <v>2.25</v>
      </c>
      <c r="G24" s="6">
        <f>(579*C24)/100</f>
        <v>86.85</v>
      </c>
      <c r="H24" s="125"/>
      <c r="I24" s="128"/>
      <c r="J24" s="130"/>
      <c r="K24" s="122"/>
    </row>
    <row r="25" spans="1:11" ht="12" customHeight="1" thickBot="1">
      <c r="A25" s="79"/>
      <c r="B25" s="29" t="s">
        <v>7</v>
      </c>
      <c r="C25" s="6">
        <v>15</v>
      </c>
      <c r="D25" s="6">
        <f>(95*C25)/100</f>
        <v>14.25</v>
      </c>
      <c r="E25" s="6">
        <v>0</v>
      </c>
      <c r="F25" s="6">
        <v>0</v>
      </c>
      <c r="G25" s="6">
        <f>(36*C25)/10</f>
        <v>54</v>
      </c>
      <c r="H25" s="125"/>
      <c r="I25" s="128"/>
      <c r="J25" s="130"/>
      <c r="K25" s="122"/>
    </row>
    <row r="26" spans="1:11" ht="12" customHeight="1" thickBot="1">
      <c r="A26" s="79"/>
      <c r="B26" s="29" t="s">
        <v>18</v>
      </c>
      <c r="C26" s="4">
        <v>10</v>
      </c>
      <c r="D26" s="6">
        <f>(75*C26)/100</f>
        <v>7.5</v>
      </c>
      <c r="E26" s="6">
        <v>0</v>
      </c>
      <c r="F26" s="6">
        <f>(2*C26)/100</f>
        <v>0.2</v>
      </c>
      <c r="G26" s="6">
        <f>(3075*C26)/1000</f>
        <v>30.75</v>
      </c>
      <c r="H26" s="125"/>
      <c r="I26" s="128"/>
      <c r="J26" s="130"/>
      <c r="K26" s="122"/>
    </row>
    <row r="27" spans="1:11" ht="12" customHeight="1" thickBot="1">
      <c r="A27" s="79"/>
      <c r="B27" s="32" t="s">
        <v>5</v>
      </c>
      <c r="C27" s="11">
        <v>30</v>
      </c>
      <c r="D27" s="11">
        <v>0</v>
      </c>
      <c r="E27" s="11">
        <f>(1*C27)</f>
        <v>30</v>
      </c>
      <c r="F27" s="11">
        <v>0</v>
      </c>
      <c r="G27" s="11">
        <f>(9*C27)</f>
        <v>270</v>
      </c>
      <c r="H27" s="126"/>
      <c r="I27" s="129"/>
      <c r="J27" s="131"/>
      <c r="K27" s="121"/>
    </row>
    <row r="28" spans="1:11" ht="12" customHeight="1" thickBot="1">
      <c r="A28" s="67" t="s">
        <v>43</v>
      </c>
      <c r="B28" s="33" t="s">
        <v>33</v>
      </c>
      <c r="C28" s="4">
        <v>50</v>
      </c>
      <c r="D28" s="6">
        <f>(1*C28)/100</f>
        <v>0.5</v>
      </c>
      <c r="E28" s="6">
        <f>(35*C28)/100</f>
        <v>17.5</v>
      </c>
      <c r="F28" s="6">
        <f>(29*C28)/100</f>
        <v>14.5</v>
      </c>
      <c r="G28" s="6">
        <f>(435*C28)/100</f>
        <v>217.5</v>
      </c>
      <c r="H28" s="109"/>
      <c r="I28" s="110"/>
      <c r="J28" s="110"/>
      <c r="K28" s="13">
        <v>12</v>
      </c>
    </row>
    <row r="29" spans="1:11" ht="12" customHeight="1" thickBot="1">
      <c r="A29" s="68"/>
      <c r="B29" s="29" t="s">
        <v>34</v>
      </c>
      <c r="C29" s="4">
        <v>50</v>
      </c>
      <c r="D29" s="6">
        <f>(2*C29)/100</f>
        <v>1</v>
      </c>
      <c r="E29" s="6">
        <f>(352*C29)/1000</f>
        <v>17.6</v>
      </c>
      <c r="F29" s="6">
        <f>(145*C29)/1000</f>
        <v>7.25</v>
      </c>
      <c r="G29" s="6">
        <f>(383*C29)/100</f>
        <v>191.5</v>
      </c>
      <c r="H29" s="109"/>
      <c r="I29" s="110"/>
      <c r="J29" s="110"/>
      <c r="K29" s="13">
        <v>12</v>
      </c>
    </row>
    <row r="30" spans="1:11" ht="12" customHeight="1" thickBot="1">
      <c r="A30" s="76"/>
      <c r="B30" s="29" t="s">
        <v>39</v>
      </c>
      <c r="C30" s="4">
        <v>61</v>
      </c>
      <c r="D30" s="6">
        <f>(7*C30)/10</f>
        <v>42.7</v>
      </c>
      <c r="E30" s="6">
        <f>(13*C30)/100</f>
        <v>7.93</v>
      </c>
      <c r="F30" s="6">
        <f>(1*C30)/10</f>
        <v>6.1</v>
      </c>
      <c r="G30" s="6">
        <f>(435*C30)/100</f>
        <v>265.35</v>
      </c>
      <c r="H30" s="109"/>
      <c r="I30" s="110"/>
      <c r="J30" s="110"/>
      <c r="K30" s="13">
        <v>12</v>
      </c>
    </row>
    <row r="31" spans="1:11" ht="12" customHeight="1" thickBot="1">
      <c r="A31" s="76"/>
      <c r="B31" s="29" t="s">
        <v>6</v>
      </c>
      <c r="C31" s="4">
        <v>92</v>
      </c>
      <c r="D31" s="6">
        <f>(9565*C31)/10000</f>
        <v>87.998</v>
      </c>
      <c r="E31" s="6">
        <v>0</v>
      </c>
      <c r="F31" s="6">
        <v>0</v>
      </c>
      <c r="G31" s="6">
        <f>(3913*C31)/1000</f>
        <v>359.996</v>
      </c>
      <c r="H31" s="109"/>
      <c r="I31" s="111"/>
      <c r="J31" s="111"/>
      <c r="K31" s="14">
        <v>12</v>
      </c>
    </row>
    <row r="32" spans="1:11" ht="4.5" customHeight="1" thickBo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ht="15" customHeight="1" thickBot="1">
      <c r="A33" s="102" t="s">
        <v>12</v>
      </c>
      <c r="B33" s="103"/>
      <c r="C33" s="103"/>
      <c r="D33" s="103"/>
      <c r="E33" s="103"/>
      <c r="F33" s="103"/>
      <c r="G33" s="103"/>
      <c r="H33" s="103"/>
      <c r="I33" s="103"/>
      <c r="J33" s="123"/>
      <c r="K33" s="39"/>
    </row>
    <row r="34" spans="1:11" ht="12" customHeight="1" thickBot="1">
      <c r="A34" s="107" t="s">
        <v>31</v>
      </c>
      <c r="B34" s="29" t="s">
        <v>19</v>
      </c>
      <c r="C34" s="6">
        <v>100</v>
      </c>
      <c r="D34" s="6">
        <v>0</v>
      </c>
      <c r="E34" s="6">
        <f>(9*C34)/1000</f>
        <v>0.9</v>
      </c>
      <c r="F34" s="6">
        <f>(228*C34)/1000</f>
        <v>22.8</v>
      </c>
      <c r="G34" s="6">
        <f>C34</f>
        <v>100</v>
      </c>
      <c r="H34" s="143">
        <f>SUM(C34:C38)</f>
        <v>265</v>
      </c>
      <c r="I34" s="134">
        <f>SUM(G34:G38)</f>
        <v>529.6</v>
      </c>
      <c r="J34" s="131">
        <f>I34/H34</f>
        <v>1.998490566037736</v>
      </c>
      <c r="K34" s="120">
        <v>2</v>
      </c>
    </row>
    <row r="35" spans="1:11" ht="12" customHeight="1" thickBot="1">
      <c r="A35" s="79"/>
      <c r="B35" s="29" t="s">
        <v>20</v>
      </c>
      <c r="C35" s="6">
        <v>25</v>
      </c>
      <c r="D35" s="6">
        <f>(7668*C35)/10000</f>
        <v>19.17</v>
      </c>
      <c r="E35" s="6">
        <f>(348*C35)/10000</f>
        <v>0.87</v>
      </c>
      <c r="F35" s="6">
        <f>(98*C35)/1000</f>
        <v>2.45</v>
      </c>
      <c r="G35" s="6">
        <f>(378*C35)/100</f>
        <v>94.5</v>
      </c>
      <c r="H35" s="137"/>
      <c r="I35" s="135"/>
      <c r="J35" s="132"/>
      <c r="K35" s="122"/>
    </row>
    <row r="36" spans="1:11" ht="12" customHeight="1" thickBot="1">
      <c r="A36" s="79"/>
      <c r="B36" s="29" t="s">
        <v>10</v>
      </c>
      <c r="C36" s="6">
        <v>10</v>
      </c>
      <c r="D36" s="6">
        <f>(2*C36)/100</f>
        <v>0.2</v>
      </c>
      <c r="E36" s="6">
        <f>(27*C36)/100</f>
        <v>2.7</v>
      </c>
      <c r="F36" s="6">
        <f>(4*C36)/10</f>
        <v>4</v>
      </c>
      <c r="G36" s="6">
        <f>(411*C36)/100</f>
        <v>41.1</v>
      </c>
      <c r="H36" s="137"/>
      <c r="I36" s="135"/>
      <c r="J36" s="132"/>
      <c r="K36" s="122"/>
    </row>
    <row r="37" spans="1:11" ht="12" customHeight="1" thickBot="1">
      <c r="A37" s="79"/>
      <c r="B37" s="29" t="s">
        <v>37</v>
      </c>
      <c r="C37" s="6">
        <v>100</v>
      </c>
      <c r="D37" s="6">
        <f>(49*C37)/1000</f>
        <v>4.9</v>
      </c>
      <c r="E37" s="6">
        <v>0</v>
      </c>
      <c r="F37" s="6">
        <f>(1*C37)/100</f>
        <v>1</v>
      </c>
      <c r="G37" s="6">
        <f>(24*C37)/100</f>
        <v>24</v>
      </c>
      <c r="H37" s="137"/>
      <c r="I37" s="135"/>
      <c r="J37" s="132"/>
      <c r="K37" s="122"/>
    </row>
    <row r="38" spans="1:11" ht="12" customHeight="1" thickBot="1">
      <c r="A38" s="79"/>
      <c r="B38" s="32" t="s">
        <v>5</v>
      </c>
      <c r="C38" s="6">
        <v>30</v>
      </c>
      <c r="D38" s="6">
        <v>0</v>
      </c>
      <c r="E38" s="6">
        <f>C38</f>
        <v>30</v>
      </c>
      <c r="F38" s="6">
        <v>0</v>
      </c>
      <c r="G38" s="6">
        <f>9*C38</f>
        <v>270</v>
      </c>
      <c r="H38" s="137"/>
      <c r="I38" s="135"/>
      <c r="J38" s="133"/>
      <c r="K38" s="121"/>
    </row>
    <row r="39" spans="1:11" ht="12" customHeight="1" thickBot="1">
      <c r="A39" s="79" t="s">
        <v>22</v>
      </c>
      <c r="B39" s="29" t="s">
        <v>19</v>
      </c>
      <c r="C39" s="5">
        <v>100</v>
      </c>
      <c r="D39" s="5">
        <v>0</v>
      </c>
      <c r="E39" s="5">
        <f>(9*C39)/1000</f>
        <v>0.9</v>
      </c>
      <c r="F39" s="5">
        <f>(228*C39)/1000</f>
        <v>22.8</v>
      </c>
      <c r="G39" s="5">
        <f>C39</f>
        <v>100</v>
      </c>
      <c r="H39" s="136">
        <f>SUM(C39:C42)</f>
        <v>255</v>
      </c>
      <c r="I39" s="138">
        <f>SUM(G39:G42)</f>
        <v>470.5</v>
      </c>
      <c r="J39" s="132">
        <f>I39/H39</f>
        <v>1.8450980392156864</v>
      </c>
      <c r="K39" s="120">
        <v>2</v>
      </c>
    </row>
    <row r="40" spans="1:11" ht="12" customHeight="1" thickBot="1">
      <c r="A40" s="79"/>
      <c r="B40" s="29" t="s">
        <v>20</v>
      </c>
      <c r="C40" s="6">
        <v>25</v>
      </c>
      <c r="D40" s="6">
        <f>(7668*C40)/10000</f>
        <v>19.17</v>
      </c>
      <c r="E40" s="6">
        <f>(348*C40)/10000</f>
        <v>0.87</v>
      </c>
      <c r="F40" s="6">
        <f>(98*C40)/1000</f>
        <v>2.45</v>
      </c>
      <c r="G40" s="6">
        <f>(378*C40)/100</f>
        <v>94.5</v>
      </c>
      <c r="H40" s="137"/>
      <c r="I40" s="135"/>
      <c r="J40" s="132"/>
      <c r="K40" s="122"/>
    </row>
    <row r="41" spans="1:11" ht="12" customHeight="1" thickBot="1">
      <c r="A41" s="79"/>
      <c r="B41" s="29" t="s">
        <v>21</v>
      </c>
      <c r="C41" s="6">
        <v>100</v>
      </c>
      <c r="D41" s="6">
        <f>(1*C41)/100</f>
        <v>1</v>
      </c>
      <c r="E41" s="6">
        <v>0</v>
      </c>
      <c r="F41" s="6">
        <f>(55*C41)/10000</f>
        <v>0.55</v>
      </c>
      <c r="G41" s="6">
        <f>(6*C41)/100</f>
        <v>6</v>
      </c>
      <c r="H41" s="137"/>
      <c r="I41" s="135"/>
      <c r="J41" s="132"/>
      <c r="K41" s="122"/>
    </row>
    <row r="42" spans="1:11" ht="12" customHeight="1" thickBot="1">
      <c r="A42" s="79"/>
      <c r="B42" s="32" t="s">
        <v>5</v>
      </c>
      <c r="C42" s="6">
        <v>30</v>
      </c>
      <c r="D42" s="6">
        <v>0</v>
      </c>
      <c r="E42" s="6">
        <f>C42</f>
        <v>30</v>
      </c>
      <c r="F42" s="6">
        <v>0</v>
      </c>
      <c r="G42" s="6">
        <f>9*C42</f>
        <v>270</v>
      </c>
      <c r="H42" s="137"/>
      <c r="I42" s="135"/>
      <c r="J42" s="132"/>
      <c r="K42" s="121"/>
    </row>
    <row r="43" spans="1:11" ht="12" customHeight="1" thickBot="1">
      <c r="A43" s="79" t="s">
        <v>25</v>
      </c>
      <c r="B43" s="29" t="s">
        <v>19</v>
      </c>
      <c r="C43" s="5">
        <v>100</v>
      </c>
      <c r="D43" s="5">
        <v>0</v>
      </c>
      <c r="E43" s="5">
        <f>(9*C43)/1000</f>
        <v>0.9</v>
      </c>
      <c r="F43" s="5">
        <f>(228*C43)/1000</f>
        <v>22.8</v>
      </c>
      <c r="G43" s="5">
        <f>C43</f>
        <v>100</v>
      </c>
      <c r="H43" s="136">
        <f>SUM(C43:C48)</f>
        <v>375</v>
      </c>
      <c r="I43" s="138">
        <f>SUM(G43:G48)</f>
        <v>673.899</v>
      </c>
      <c r="J43" s="131">
        <f>I43/H43</f>
        <v>1.797064</v>
      </c>
      <c r="K43" s="120">
        <v>1</v>
      </c>
    </row>
    <row r="44" spans="1:11" ht="12" customHeight="1" thickBot="1">
      <c r="A44" s="79"/>
      <c r="B44" s="29" t="s">
        <v>23</v>
      </c>
      <c r="C44" s="6">
        <v>130</v>
      </c>
      <c r="D44" s="6">
        <f>(4131*C44)/10000</f>
        <v>53.703</v>
      </c>
      <c r="E44" s="6">
        <f>(127*C44)/10000</f>
        <v>1.651</v>
      </c>
      <c r="F44" s="6">
        <f>(685*C44)/10000</f>
        <v>8.905</v>
      </c>
      <c r="G44" s="6">
        <f>(20423*C44)/10000</f>
        <v>265.499</v>
      </c>
      <c r="H44" s="137"/>
      <c r="I44" s="135"/>
      <c r="J44" s="132"/>
      <c r="K44" s="122"/>
    </row>
    <row r="45" spans="1:11" ht="12" customHeight="1" thickBot="1">
      <c r="A45" s="79"/>
      <c r="B45" s="29" t="s">
        <v>24</v>
      </c>
      <c r="C45" s="6">
        <v>100</v>
      </c>
      <c r="D45" s="6">
        <f>(67*C45)/1000</f>
        <v>6.7</v>
      </c>
      <c r="E45" s="6">
        <f>(6*C45)/1000</f>
        <v>0.6</v>
      </c>
      <c r="F45" s="6">
        <f>(19*C45)/1000</f>
        <v>1.9</v>
      </c>
      <c r="G45" s="6">
        <f>(4*C45)/100</f>
        <v>4</v>
      </c>
      <c r="H45" s="137"/>
      <c r="I45" s="135"/>
      <c r="J45" s="132"/>
      <c r="K45" s="122"/>
    </row>
    <row r="46" spans="1:11" ht="12" customHeight="1" thickBot="1">
      <c r="A46" s="79"/>
      <c r="B46" s="29" t="s">
        <v>18</v>
      </c>
      <c r="C46" s="4">
        <v>10</v>
      </c>
      <c r="D46" s="6">
        <f>(75*C46)/100</f>
        <v>7.5</v>
      </c>
      <c r="E46" s="6">
        <v>0</v>
      </c>
      <c r="F46" s="6">
        <f>(2*C46)/100</f>
        <v>0.2</v>
      </c>
      <c r="G46" s="6">
        <f>(3075*C46)/1000</f>
        <v>30.75</v>
      </c>
      <c r="H46" s="137"/>
      <c r="I46" s="135"/>
      <c r="J46" s="133"/>
      <c r="K46" s="122"/>
    </row>
    <row r="47" spans="1:11" ht="12" customHeight="1" thickBot="1">
      <c r="A47" s="79"/>
      <c r="B47" s="29" t="s">
        <v>54</v>
      </c>
      <c r="C47" s="4">
        <v>5</v>
      </c>
      <c r="D47" s="6">
        <f>(139*C47)/1000</f>
        <v>0.695</v>
      </c>
      <c r="E47" s="6">
        <f>(1*C47)/1000</f>
        <v>0.005</v>
      </c>
      <c r="F47" s="6">
        <f>(4*C47)/100</f>
        <v>0.2</v>
      </c>
      <c r="G47" s="6">
        <f>(73*C47)/100</f>
        <v>3.65</v>
      </c>
      <c r="H47" s="137"/>
      <c r="I47" s="135"/>
      <c r="J47" s="133"/>
      <c r="K47" s="122"/>
    </row>
    <row r="48" spans="1:11" ht="12" customHeight="1" thickBot="1">
      <c r="A48" s="79"/>
      <c r="B48" s="32" t="s">
        <v>5</v>
      </c>
      <c r="C48" s="6">
        <v>30</v>
      </c>
      <c r="D48" s="6">
        <v>0</v>
      </c>
      <c r="E48" s="6">
        <f>C48</f>
        <v>30</v>
      </c>
      <c r="F48" s="6">
        <v>0</v>
      </c>
      <c r="G48" s="6">
        <f>9*C48</f>
        <v>270</v>
      </c>
      <c r="H48" s="137"/>
      <c r="I48" s="135"/>
      <c r="J48" s="133"/>
      <c r="K48" s="121"/>
    </row>
    <row r="49" spans="1:11" ht="12" customHeight="1" thickBot="1">
      <c r="A49" s="79" t="s">
        <v>28</v>
      </c>
      <c r="B49" s="29" t="s">
        <v>19</v>
      </c>
      <c r="C49" s="5">
        <v>100</v>
      </c>
      <c r="D49" s="5">
        <v>0</v>
      </c>
      <c r="E49" s="5">
        <f>(9*C49)/1000</f>
        <v>0.9</v>
      </c>
      <c r="F49" s="5">
        <f>(228*C49)/1000</f>
        <v>22.8</v>
      </c>
      <c r="G49" s="5">
        <f>C49</f>
        <v>100</v>
      </c>
      <c r="H49" s="136">
        <f>SUM(C49:C53)</f>
        <v>440</v>
      </c>
      <c r="I49" s="138">
        <f>SUM(G49:G53)</f>
        <v>645.1</v>
      </c>
      <c r="J49" s="132">
        <f>I49/H49</f>
        <v>1.4661363636363638</v>
      </c>
      <c r="K49" s="120">
        <v>1</v>
      </c>
    </row>
    <row r="50" spans="1:11" ht="12" customHeight="1" thickBot="1">
      <c r="A50" s="79"/>
      <c r="B50" s="29" t="s">
        <v>26</v>
      </c>
      <c r="C50" s="6">
        <v>150</v>
      </c>
      <c r="D50" s="6">
        <f>(288*C50)/1000</f>
        <v>43.2</v>
      </c>
      <c r="E50" s="6">
        <v>0</v>
      </c>
      <c r="F50" s="6">
        <f>(5*C50)/100</f>
        <v>7.5</v>
      </c>
      <c r="G50" s="6">
        <f>(136*C50)/100</f>
        <v>204</v>
      </c>
      <c r="H50" s="137"/>
      <c r="I50" s="135"/>
      <c r="J50" s="132"/>
      <c r="K50" s="122"/>
    </row>
    <row r="51" spans="1:11" ht="12" customHeight="1" thickBot="1">
      <c r="A51" s="79"/>
      <c r="B51" s="29" t="s">
        <v>10</v>
      </c>
      <c r="C51" s="6">
        <v>10</v>
      </c>
      <c r="D51" s="6">
        <f>(2*C51)/100</f>
        <v>0.2</v>
      </c>
      <c r="E51" s="6">
        <f>(27*C51)/100</f>
        <v>2.7</v>
      </c>
      <c r="F51" s="6">
        <f>(4*C51)/10</f>
        <v>4</v>
      </c>
      <c r="G51" s="6">
        <f>(411*C51)/100</f>
        <v>41.1</v>
      </c>
      <c r="H51" s="137"/>
      <c r="I51" s="135"/>
      <c r="J51" s="132"/>
      <c r="K51" s="122"/>
    </row>
    <row r="52" spans="1:11" ht="12" customHeight="1" thickBot="1">
      <c r="A52" s="79"/>
      <c r="B52" s="29" t="s">
        <v>27</v>
      </c>
      <c r="C52" s="6">
        <v>150</v>
      </c>
      <c r="D52" s="6">
        <f>(2*C52)/100</f>
        <v>3</v>
      </c>
      <c r="E52" s="6">
        <v>0</v>
      </c>
      <c r="F52" s="6">
        <f>(3*C52)/100</f>
        <v>4.5</v>
      </c>
      <c r="G52" s="6">
        <f>(2*C52)/10</f>
        <v>30</v>
      </c>
      <c r="H52" s="137"/>
      <c r="I52" s="135"/>
      <c r="J52" s="132"/>
      <c r="K52" s="122"/>
    </row>
    <row r="53" spans="1:11" ht="12" customHeight="1" thickBot="1">
      <c r="A53" s="79"/>
      <c r="B53" s="32" t="s">
        <v>5</v>
      </c>
      <c r="C53" s="6">
        <v>30</v>
      </c>
      <c r="D53" s="6">
        <v>0</v>
      </c>
      <c r="E53" s="6">
        <f>C53</f>
        <v>30</v>
      </c>
      <c r="F53" s="6">
        <v>0</v>
      </c>
      <c r="G53" s="6">
        <f>9*C53</f>
        <v>270</v>
      </c>
      <c r="H53" s="137"/>
      <c r="I53" s="135"/>
      <c r="J53" s="132"/>
      <c r="K53" s="121"/>
    </row>
    <row r="54" spans="1:11" ht="12" customHeight="1" thickBot="1">
      <c r="A54" s="79" t="s">
        <v>67</v>
      </c>
      <c r="B54" s="29" t="s">
        <v>29</v>
      </c>
      <c r="C54" s="5">
        <v>100</v>
      </c>
      <c r="D54" s="5">
        <v>0</v>
      </c>
      <c r="E54" s="5">
        <f>(2*C54)/100</f>
        <v>2</v>
      </c>
      <c r="F54" s="5">
        <f>(19*C54)/100</f>
        <v>19</v>
      </c>
      <c r="G54" s="5">
        <f>(93*C54)/100</f>
        <v>93</v>
      </c>
      <c r="H54" s="136">
        <f>SUM(C54:C57)</f>
        <v>255</v>
      </c>
      <c r="I54" s="138">
        <f>SUM(G54:G57)</f>
        <v>473.5</v>
      </c>
      <c r="J54" s="131">
        <f>I54/H54</f>
        <v>1.8568627450980393</v>
      </c>
      <c r="K54" s="120">
        <v>2</v>
      </c>
    </row>
    <row r="55" spans="1:11" ht="12" customHeight="1" thickBot="1">
      <c r="A55" s="79"/>
      <c r="B55" s="29" t="s">
        <v>20</v>
      </c>
      <c r="C55" s="6">
        <v>25</v>
      </c>
      <c r="D55" s="6">
        <f>(7668*C55)/10000</f>
        <v>19.17</v>
      </c>
      <c r="E55" s="6">
        <f>(348*C55)/10000</f>
        <v>0.87</v>
      </c>
      <c r="F55" s="6">
        <f>(98*C55)/1000</f>
        <v>2.45</v>
      </c>
      <c r="G55" s="6">
        <f>(378*C55)/100</f>
        <v>94.5</v>
      </c>
      <c r="H55" s="137"/>
      <c r="I55" s="135"/>
      <c r="J55" s="132"/>
      <c r="K55" s="122"/>
    </row>
    <row r="56" spans="1:11" ht="12" customHeight="1" thickBot="1">
      <c r="A56" s="79"/>
      <c r="B56" s="29" t="s">
        <v>30</v>
      </c>
      <c r="C56" s="6">
        <v>100</v>
      </c>
      <c r="D56" s="6">
        <f>(2*C56)/100</f>
        <v>2</v>
      </c>
      <c r="E56" s="6">
        <v>0</v>
      </c>
      <c r="F56" s="6">
        <f>(2*C56)/100</f>
        <v>2</v>
      </c>
      <c r="G56" s="6">
        <f>(16*C56)/100</f>
        <v>16</v>
      </c>
      <c r="H56" s="137"/>
      <c r="I56" s="135"/>
      <c r="J56" s="132"/>
      <c r="K56" s="122"/>
    </row>
    <row r="57" spans="1:11" ht="12" customHeight="1" thickBot="1">
      <c r="A57" s="79"/>
      <c r="B57" s="32" t="s">
        <v>5</v>
      </c>
      <c r="C57" s="11">
        <v>30</v>
      </c>
      <c r="D57" s="11">
        <v>0</v>
      </c>
      <c r="E57" s="11">
        <f>C57</f>
        <v>30</v>
      </c>
      <c r="F57" s="11">
        <v>0</v>
      </c>
      <c r="G57" s="11">
        <f>9*C57</f>
        <v>270</v>
      </c>
      <c r="H57" s="137"/>
      <c r="I57" s="135"/>
      <c r="J57" s="133"/>
      <c r="K57" s="121"/>
    </row>
    <row r="58" spans="1:11" ht="12" customHeight="1" thickBot="1">
      <c r="A58" s="79" t="s">
        <v>57</v>
      </c>
      <c r="B58" s="29" t="s">
        <v>29</v>
      </c>
      <c r="C58" s="5">
        <v>100</v>
      </c>
      <c r="D58" s="5">
        <v>0</v>
      </c>
      <c r="E58" s="5">
        <f>(2*C58)/100</f>
        <v>2</v>
      </c>
      <c r="F58" s="5">
        <f>(19*C58)/100</f>
        <v>19</v>
      </c>
      <c r="G58" s="5">
        <f>(93*C58)/100</f>
        <v>93</v>
      </c>
      <c r="H58" s="139">
        <f>SUM(C58:C61)</f>
        <v>380</v>
      </c>
      <c r="I58" s="140">
        <f>SUM(G58:G61)</f>
        <v>583</v>
      </c>
      <c r="J58" s="132">
        <f>I58/H58</f>
        <v>1.5342105263157895</v>
      </c>
      <c r="K58" s="120">
        <v>1</v>
      </c>
    </row>
    <row r="59" spans="1:11" ht="12" customHeight="1" thickBot="1">
      <c r="A59" s="79"/>
      <c r="B59" s="29" t="s">
        <v>26</v>
      </c>
      <c r="C59" s="6">
        <v>150</v>
      </c>
      <c r="D59" s="6">
        <f>(288*C59)/1000</f>
        <v>43.2</v>
      </c>
      <c r="E59" s="6">
        <v>0</v>
      </c>
      <c r="F59" s="6">
        <f>(5*C59)/100</f>
        <v>7.5</v>
      </c>
      <c r="G59" s="6">
        <f>(136*C59)/100</f>
        <v>204</v>
      </c>
      <c r="H59" s="125"/>
      <c r="I59" s="128"/>
      <c r="J59" s="132"/>
      <c r="K59" s="122"/>
    </row>
    <row r="60" spans="1:11" ht="12" customHeight="1" thickBot="1">
      <c r="A60" s="79"/>
      <c r="B60" s="29" t="s">
        <v>30</v>
      </c>
      <c r="C60" s="6">
        <v>100</v>
      </c>
      <c r="D60" s="6">
        <f>(2*C60)/100</f>
        <v>2</v>
      </c>
      <c r="E60" s="6">
        <v>0</v>
      </c>
      <c r="F60" s="6">
        <f>(2*C60)/100</f>
        <v>2</v>
      </c>
      <c r="G60" s="6">
        <f>(16*C60)/100</f>
        <v>16</v>
      </c>
      <c r="H60" s="125"/>
      <c r="I60" s="128"/>
      <c r="J60" s="132"/>
      <c r="K60" s="122"/>
    </row>
    <row r="61" spans="1:11" ht="12" customHeight="1" thickBot="1">
      <c r="A61" s="79"/>
      <c r="B61" s="32" t="s">
        <v>5</v>
      </c>
      <c r="C61" s="11">
        <v>30</v>
      </c>
      <c r="D61" s="11">
        <v>0</v>
      </c>
      <c r="E61" s="11">
        <f>C61</f>
        <v>30</v>
      </c>
      <c r="F61" s="11">
        <v>0</v>
      </c>
      <c r="G61" s="11">
        <f>9*C61</f>
        <v>270</v>
      </c>
      <c r="H61" s="126"/>
      <c r="I61" s="129"/>
      <c r="J61" s="132"/>
      <c r="K61" s="121"/>
    </row>
    <row r="62" spans="1:11" ht="12" customHeight="1" thickBot="1">
      <c r="A62" s="79" t="s">
        <v>50</v>
      </c>
      <c r="B62" s="29" t="s">
        <v>52</v>
      </c>
      <c r="C62" s="6">
        <v>100</v>
      </c>
      <c r="D62" s="6">
        <f>(152*C62)/1000</f>
        <v>15.2</v>
      </c>
      <c r="E62" s="6">
        <f>(379*C62)/1000</f>
        <v>37.9</v>
      </c>
      <c r="F62" s="6">
        <v>0</v>
      </c>
      <c r="G62" s="6">
        <f>(404*C62)/100</f>
        <v>404</v>
      </c>
      <c r="H62" s="139">
        <f>SUM(C62:C65)</f>
        <v>280</v>
      </c>
      <c r="I62" s="140">
        <f>SUM(G62:G65)</f>
        <v>889</v>
      </c>
      <c r="J62" s="131">
        <f>I62/H62</f>
        <v>3.175</v>
      </c>
      <c r="K62" s="120">
        <v>2</v>
      </c>
    </row>
    <row r="63" spans="1:11" ht="12" customHeight="1" thickBot="1">
      <c r="A63" s="79"/>
      <c r="B63" s="29" t="s">
        <v>20</v>
      </c>
      <c r="C63" s="6">
        <v>50</v>
      </c>
      <c r="D63" s="6">
        <f>(7668*C63)/10000</f>
        <v>38.34</v>
      </c>
      <c r="E63" s="6">
        <f>(348*C63)/10000</f>
        <v>1.74</v>
      </c>
      <c r="F63" s="6">
        <f>(98*C63)/1000</f>
        <v>4.9</v>
      </c>
      <c r="G63" s="6">
        <f>(378*C63)/100</f>
        <v>189</v>
      </c>
      <c r="H63" s="125"/>
      <c r="I63" s="128"/>
      <c r="J63" s="132"/>
      <c r="K63" s="122"/>
    </row>
    <row r="64" spans="1:11" ht="12" customHeight="1" thickBot="1">
      <c r="A64" s="79"/>
      <c r="B64" s="29" t="s">
        <v>53</v>
      </c>
      <c r="C64" s="6">
        <v>100</v>
      </c>
      <c r="D64" s="6">
        <f>(56*C64)/1000</f>
        <v>5.6</v>
      </c>
      <c r="E64" s="6">
        <v>0</v>
      </c>
      <c r="F64" s="6">
        <f>(1*C64)/100</f>
        <v>1</v>
      </c>
      <c r="G64" s="6">
        <f>(26*C64)/100</f>
        <v>26</v>
      </c>
      <c r="H64" s="125"/>
      <c r="I64" s="128"/>
      <c r="J64" s="132"/>
      <c r="K64" s="122"/>
    </row>
    <row r="65" spans="1:11" ht="12" customHeight="1" thickBot="1">
      <c r="A65" s="79"/>
      <c r="B65" s="32" t="s">
        <v>5</v>
      </c>
      <c r="C65" s="6">
        <v>30</v>
      </c>
      <c r="D65" s="6">
        <v>0</v>
      </c>
      <c r="E65" s="6">
        <f>C65</f>
        <v>30</v>
      </c>
      <c r="F65" s="6">
        <v>0</v>
      </c>
      <c r="G65" s="6">
        <f>9*C65</f>
        <v>270</v>
      </c>
      <c r="H65" s="126"/>
      <c r="I65" s="129"/>
      <c r="J65" s="132"/>
      <c r="K65" s="121"/>
    </row>
    <row r="66" spans="1:11" ht="12" customHeight="1" thickBot="1">
      <c r="A66" s="79" t="s">
        <v>51</v>
      </c>
      <c r="B66" s="29" t="s">
        <v>56</v>
      </c>
      <c r="C66" s="5">
        <v>100</v>
      </c>
      <c r="D66" s="5">
        <v>0</v>
      </c>
      <c r="E66" s="5">
        <f>(25*C66)/100</f>
        <v>25</v>
      </c>
      <c r="F66" s="5">
        <f>(224*C66)/1000</f>
        <v>22.4</v>
      </c>
      <c r="G66" s="5">
        <f>(315*C66)/100</f>
        <v>315</v>
      </c>
      <c r="H66" s="139">
        <f>SUM(C66:C71)</f>
        <v>345</v>
      </c>
      <c r="I66" s="140">
        <f>SUM(G66:G71)</f>
        <v>751.405</v>
      </c>
      <c r="J66" s="133">
        <f>I66/H66</f>
        <v>2.1779855072463765</v>
      </c>
      <c r="K66" s="120">
        <v>1</v>
      </c>
    </row>
    <row r="67" spans="1:11" ht="12" customHeight="1" thickBot="1">
      <c r="A67" s="79"/>
      <c r="B67" s="29" t="s">
        <v>24</v>
      </c>
      <c r="C67" s="6">
        <v>50</v>
      </c>
      <c r="D67" s="6">
        <f>(67*C67)/1000</f>
        <v>3.35</v>
      </c>
      <c r="E67" s="6">
        <f>(6*C67)/1000</f>
        <v>0.3</v>
      </c>
      <c r="F67" s="6">
        <f>(19*C67)/1000</f>
        <v>0.95</v>
      </c>
      <c r="G67" s="6">
        <f>(4*C67)/100</f>
        <v>2</v>
      </c>
      <c r="H67" s="125"/>
      <c r="I67" s="128"/>
      <c r="J67" s="130"/>
      <c r="K67" s="122"/>
    </row>
    <row r="68" spans="1:11" ht="12" customHeight="1" thickBot="1">
      <c r="A68" s="79"/>
      <c r="B68" s="29" t="s">
        <v>18</v>
      </c>
      <c r="C68" s="4">
        <v>10</v>
      </c>
      <c r="D68" s="6">
        <f>(75*C68)/100</f>
        <v>7.5</v>
      </c>
      <c r="E68" s="6">
        <v>0</v>
      </c>
      <c r="F68" s="6">
        <f>(2*C68)/100</f>
        <v>0.2</v>
      </c>
      <c r="G68" s="6">
        <f>(3075*C68)/1000</f>
        <v>30.75</v>
      </c>
      <c r="H68" s="125"/>
      <c r="I68" s="128"/>
      <c r="J68" s="130"/>
      <c r="K68" s="122"/>
    </row>
    <row r="69" spans="1:11" ht="12" customHeight="1" thickBot="1">
      <c r="A69" s="79"/>
      <c r="B69" s="29" t="s">
        <v>54</v>
      </c>
      <c r="C69" s="4">
        <v>5</v>
      </c>
      <c r="D69" s="6">
        <f>(139*C69)/1000</f>
        <v>0.695</v>
      </c>
      <c r="E69" s="6">
        <f>(1*C69)/1000</f>
        <v>0.005</v>
      </c>
      <c r="F69" s="6">
        <f>(4*C69)/100</f>
        <v>0.2</v>
      </c>
      <c r="G69" s="6">
        <f>(73*C69)/100</f>
        <v>3.65</v>
      </c>
      <c r="H69" s="125"/>
      <c r="I69" s="128"/>
      <c r="J69" s="130"/>
      <c r="K69" s="122"/>
    </row>
    <row r="70" spans="1:11" ht="12" customHeight="1" thickBot="1">
      <c r="A70" s="79"/>
      <c r="B70" s="29" t="s">
        <v>84</v>
      </c>
      <c r="C70" s="4">
        <v>150</v>
      </c>
      <c r="D70" s="6">
        <f>(1967*C70)/10000</f>
        <v>29.505</v>
      </c>
      <c r="E70" s="6">
        <v>0</v>
      </c>
      <c r="F70" s="6">
        <f>(2*C70)/100</f>
        <v>3</v>
      </c>
      <c r="G70" s="6">
        <f>(8667*C70)/10000</f>
        <v>130.005</v>
      </c>
      <c r="H70" s="125"/>
      <c r="I70" s="128"/>
      <c r="J70" s="130"/>
      <c r="K70" s="122"/>
    </row>
    <row r="71" spans="1:11" ht="12" customHeight="1" thickBot="1">
      <c r="A71" s="79"/>
      <c r="B71" s="32" t="s">
        <v>5</v>
      </c>
      <c r="C71" s="11">
        <v>30</v>
      </c>
      <c r="D71" s="11">
        <v>0</v>
      </c>
      <c r="E71" s="11">
        <f>C71</f>
        <v>30</v>
      </c>
      <c r="F71" s="11">
        <v>0</v>
      </c>
      <c r="G71" s="11">
        <f>9*C71</f>
        <v>270</v>
      </c>
      <c r="H71" s="126"/>
      <c r="I71" s="129"/>
      <c r="J71" s="131"/>
      <c r="K71" s="121"/>
    </row>
    <row r="72" spans="1:11" ht="12" customHeight="1" thickBot="1">
      <c r="A72" s="79" t="s">
        <v>43</v>
      </c>
      <c r="B72" s="29" t="s">
        <v>11</v>
      </c>
      <c r="C72" s="6">
        <v>30</v>
      </c>
      <c r="D72" s="6">
        <f>(6*C72)/10</f>
        <v>18</v>
      </c>
      <c r="E72" s="6">
        <f>(133*C72)/1000</f>
        <v>3.99</v>
      </c>
      <c r="F72" s="6">
        <f>(1*C72)/10</f>
        <v>3</v>
      </c>
      <c r="G72" s="6">
        <f>(4*C72)</f>
        <v>120</v>
      </c>
      <c r="H72" s="98"/>
      <c r="I72" s="116"/>
      <c r="J72" s="116"/>
      <c r="K72" s="13">
        <v>12</v>
      </c>
    </row>
    <row r="73" spans="1:11" ht="12" customHeight="1" thickBot="1">
      <c r="A73" s="79"/>
      <c r="B73" s="29" t="s">
        <v>38</v>
      </c>
      <c r="C73" s="4">
        <v>24.4</v>
      </c>
      <c r="D73" s="6">
        <f>(7*C73)/10</f>
        <v>17.08</v>
      </c>
      <c r="E73" s="6">
        <f>(13*C73)/100</f>
        <v>3.1719999999999997</v>
      </c>
      <c r="F73" s="6">
        <f>(1*C73)/10</f>
        <v>2.44</v>
      </c>
      <c r="G73" s="6">
        <f>(435*C73)/100</f>
        <v>106.14</v>
      </c>
      <c r="H73" s="98"/>
      <c r="I73" s="116"/>
      <c r="J73" s="116"/>
      <c r="K73" s="13">
        <v>12</v>
      </c>
    </row>
    <row r="74" spans="1:11" ht="12" customHeight="1" thickBot="1">
      <c r="A74" s="79"/>
      <c r="B74" s="29" t="s">
        <v>15</v>
      </c>
      <c r="C74" s="6">
        <v>4</v>
      </c>
      <c r="D74" s="6">
        <v>0</v>
      </c>
      <c r="E74" s="6">
        <v>0</v>
      </c>
      <c r="F74" s="6">
        <v>0</v>
      </c>
      <c r="G74" s="6">
        <v>0</v>
      </c>
      <c r="H74" s="98"/>
      <c r="I74" s="116"/>
      <c r="J74" s="116"/>
      <c r="K74" s="13">
        <v>12</v>
      </c>
    </row>
    <row r="75" spans="1:11" ht="12" customHeight="1" thickBot="1">
      <c r="A75" s="79"/>
      <c r="B75" s="34" t="s">
        <v>16</v>
      </c>
      <c r="C75" s="6">
        <v>2</v>
      </c>
      <c r="D75" s="6">
        <v>0</v>
      </c>
      <c r="E75" s="6">
        <v>0</v>
      </c>
      <c r="F75" s="6">
        <v>0</v>
      </c>
      <c r="G75" s="6">
        <v>0</v>
      </c>
      <c r="H75" s="98"/>
      <c r="I75" s="116"/>
      <c r="J75" s="116"/>
      <c r="K75" s="13">
        <v>12</v>
      </c>
    </row>
    <row r="76" spans="1:11" ht="12" customHeight="1" thickBot="1">
      <c r="A76" s="67"/>
      <c r="B76" s="29" t="s">
        <v>17</v>
      </c>
      <c r="C76" s="6">
        <v>50</v>
      </c>
      <c r="D76" s="6">
        <f>C76</f>
        <v>50</v>
      </c>
      <c r="E76" s="6">
        <v>0</v>
      </c>
      <c r="F76" s="6">
        <v>0</v>
      </c>
      <c r="G76" s="6">
        <f>C76*4</f>
        <v>200</v>
      </c>
      <c r="H76" s="98"/>
      <c r="I76" s="116"/>
      <c r="J76" s="116"/>
      <c r="K76" s="14">
        <v>12</v>
      </c>
    </row>
    <row r="77" spans="1:11" ht="4.5" customHeight="1" thickBot="1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6"/>
    </row>
    <row r="78" spans="2:7" ht="13.5" thickBot="1">
      <c r="B78" s="43" t="s">
        <v>72</v>
      </c>
      <c r="C78" s="38">
        <f>(SUM(C6:C14))+(SUM(C17:C27)/2)+SUM(C28:C31)+(SUM(C34:C71)/8)+SUM(C72:C76)</f>
        <v>1044.175</v>
      </c>
      <c r="D78" s="46">
        <f>(SUM(D6:D14))+(SUM(D17:D27)/2)+SUM(D28:D31)+(SUM(D34:D71)/8)+SUM(D72:D76)</f>
        <v>437.97275</v>
      </c>
      <c r="E78" s="46">
        <f>(SUM(E6:E14))+(SUM(E17:E27)/2)+SUM(E28:E31)+(SUM(E34:E71)/8)+SUM(E72:E76)</f>
        <v>198.098875</v>
      </c>
      <c r="F78" s="46">
        <f>(SUM(F6:F14))+(SUM(F17:F27)/2)+SUM(F28:F31)+(SUM(F34:F71)/8)+SUM(F72:F76)</f>
        <v>83.953875</v>
      </c>
      <c r="G78" s="38">
        <f>(SUM(G6:G14))+(SUM(G17:G27)/2)+SUM(G28:G31)+(SUM(G34:G71)/8)+SUM(G72:G76)</f>
        <v>3867.551</v>
      </c>
    </row>
    <row r="79" spans="2:7" ht="13.5" thickBot="1">
      <c r="B79" s="50" t="s">
        <v>76</v>
      </c>
      <c r="C79" s="20"/>
      <c r="D79" s="52">
        <f>((D78*4)/G78)</f>
        <v>0.4529716608779044</v>
      </c>
      <c r="E79" s="52">
        <f>((E78*9)/G78)</f>
        <v>0.46098677819633144</v>
      </c>
      <c r="F79" s="52">
        <f>((F78*4)/G78)*1</f>
        <v>0.08682897782084839</v>
      </c>
      <c r="G79" s="53">
        <f>G78/C78</f>
        <v>3.7039298968084853</v>
      </c>
    </row>
    <row r="80" spans="2:7" ht="4.5" customHeight="1" thickBot="1">
      <c r="B80" s="104"/>
      <c r="C80" s="105"/>
      <c r="D80" s="105"/>
      <c r="E80" s="105"/>
      <c r="F80" s="105"/>
      <c r="G80" s="106"/>
    </row>
    <row r="81" ht="13.5" thickBot="1">
      <c r="B81" s="44" t="s">
        <v>73</v>
      </c>
    </row>
    <row r="82" spans="2:7" ht="12" customHeight="1" thickBot="1">
      <c r="B82" s="49" t="s">
        <v>74</v>
      </c>
      <c r="C82" s="47">
        <f>SUM(C6:C14)</f>
        <v>221.4</v>
      </c>
      <c r="D82" s="47">
        <f>SUM(D6:D14)</f>
        <v>121.92249999999999</v>
      </c>
      <c r="E82" s="47">
        <f>SUM(E6:E14)</f>
        <v>53.9555</v>
      </c>
      <c r="F82" s="47">
        <f>SUM(F6:F14)</f>
        <v>14.3095</v>
      </c>
      <c r="G82" s="47">
        <f>SUM(G6:G14)</f>
        <v>1029.1895</v>
      </c>
    </row>
    <row r="83" spans="2:7" ht="12" customHeight="1" thickBot="1">
      <c r="B83" s="50" t="s">
        <v>76</v>
      </c>
      <c r="C83" s="48"/>
      <c r="D83" s="52">
        <f>((D82*4)/G82)</f>
        <v>0.47385831277913343</v>
      </c>
      <c r="E83" s="52">
        <f>((E82*9)/G82)</f>
        <v>0.47182710278330675</v>
      </c>
      <c r="F83" s="52">
        <f>((F82*4)/G82)</f>
        <v>0.05561463656595797</v>
      </c>
      <c r="G83" s="53">
        <f>G82/C82</f>
        <v>4.648552393857272</v>
      </c>
    </row>
    <row r="84" spans="2:7" ht="12" customHeight="1" thickBot="1">
      <c r="B84" s="49" t="s">
        <v>75</v>
      </c>
      <c r="C84" s="47">
        <f>SUM(C17:C27)/2+SUM(C28:C31)</f>
        <v>388</v>
      </c>
      <c r="D84" s="47">
        <f>SUM(D17:D27)/2+SUM(D28:D31)</f>
        <v>190.22050000000002</v>
      </c>
      <c r="E84" s="47">
        <f>SUM(E17:E27)/2+SUM(E28:E31)</f>
        <v>96.63</v>
      </c>
      <c r="F84" s="47">
        <f>SUM(F17:F27)/2+SUM(F28:F31)</f>
        <v>37.5225</v>
      </c>
      <c r="G84" s="47">
        <f>SUM(G17:G27)/2+SUM(G28:G31)</f>
        <v>1785.221</v>
      </c>
    </row>
    <row r="85" spans="2:7" ht="12" customHeight="1" thickBot="1">
      <c r="B85" s="50" t="s">
        <v>76</v>
      </c>
      <c r="C85" s="48"/>
      <c r="D85" s="52">
        <f>((D84*4)/G84)</f>
        <v>0.42621165670804906</v>
      </c>
      <c r="E85" s="52">
        <f>((E84*9)/G84)</f>
        <v>0.48714977025253453</v>
      </c>
      <c r="F85" s="52">
        <f>((F84*4)/G84)</f>
        <v>0.08407362449803134</v>
      </c>
      <c r="G85" s="53">
        <f>G84/C84</f>
        <v>4.6010850515463915</v>
      </c>
    </row>
    <row r="86" spans="2:7" ht="12" customHeight="1" thickBot="1">
      <c r="B86" s="49" t="s">
        <v>12</v>
      </c>
      <c r="C86" s="47">
        <f>SUM(C34:C71)/8+SUM(C72:C76)</f>
        <v>434.775</v>
      </c>
      <c r="D86" s="47">
        <f>SUM(D34:D71)/8+SUM(D72:D76)</f>
        <v>125.82974999999999</v>
      </c>
      <c r="E86" s="47">
        <f>SUM(E34:E71)/8+SUM(E72:E76)</f>
        <v>47.513374999999996</v>
      </c>
      <c r="F86" s="47">
        <f>SUM(F34:F71)/8+SUM(F72:F76)</f>
        <v>32.121874999999996</v>
      </c>
      <c r="G86" s="47">
        <f>SUM(G34:G71)/8+SUM(G72:G76)</f>
        <v>1053.1405</v>
      </c>
    </row>
    <row r="87" spans="2:9" ht="13.5" thickBot="1">
      <c r="B87" s="50" t="s">
        <v>76</v>
      </c>
      <c r="C87" s="48"/>
      <c r="D87" s="52">
        <f>((D86*4)/G86)</f>
        <v>0.4779219866674959</v>
      </c>
      <c r="E87" s="52">
        <f>((E86*9)/G86)</f>
        <v>0.4060430445890173</v>
      </c>
      <c r="F87" s="52">
        <f>((F86*4)/G86)</f>
        <v>0.12200413904887333</v>
      </c>
      <c r="G87" s="53">
        <f>G86/C86</f>
        <v>2.422265539646944</v>
      </c>
      <c r="I87" s="51"/>
    </row>
    <row r="88" spans="3:7" ht="12.75">
      <c r="C88" s="45"/>
      <c r="D88" s="45"/>
      <c r="E88" s="45"/>
      <c r="F88" s="45"/>
      <c r="G88" s="45"/>
    </row>
  </sheetData>
  <mergeCells count="81">
    <mergeCell ref="K2:K3"/>
    <mergeCell ref="A1:K1"/>
    <mergeCell ref="K6:K11"/>
    <mergeCell ref="K17:K22"/>
    <mergeCell ref="H12:J14"/>
    <mergeCell ref="A16:J16"/>
    <mergeCell ref="A17:A22"/>
    <mergeCell ref="H17:H22"/>
    <mergeCell ref="I17:I22"/>
    <mergeCell ref="J17:J22"/>
    <mergeCell ref="K23:K27"/>
    <mergeCell ref="K34:K38"/>
    <mergeCell ref="K39:K42"/>
    <mergeCell ref="J34:J38"/>
    <mergeCell ref="A32:K32"/>
    <mergeCell ref="I34:I38"/>
    <mergeCell ref="A39:A42"/>
    <mergeCell ref="H39:H42"/>
    <mergeCell ref="I39:I42"/>
    <mergeCell ref="J39:J42"/>
    <mergeCell ref="K43:K48"/>
    <mergeCell ref="K49:K53"/>
    <mergeCell ref="H66:H71"/>
    <mergeCell ref="I66:I71"/>
    <mergeCell ref="J66:J71"/>
    <mergeCell ref="H54:H57"/>
    <mergeCell ref="I54:I57"/>
    <mergeCell ref="J54:J57"/>
    <mergeCell ref="K54:K57"/>
    <mergeCell ref="K58:K61"/>
    <mergeCell ref="K62:K65"/>
    <mergeCell ref="A72:A76"/>
    <mergeCell ref="H72:J76"/>
    <mergeCell ref="A62:A65"/>
    <mergeCell ref="H62:H65"/>
    <mergeCell ref="I62:I65"/>
    <mergeCell ref="J62:J65"/>
    <mergeCell ref="A66:A71"/>
    <mergeCell ref="K66:K71"/>
    <mergeCell ref="A58:A61"/>
    <mergeCell ref="H58:H61"/>
    <mergeCell ref="I58:I61"/>
    <mergeCell ref="J58:J61"/>
    <mergeCell ref="H43:H48"/>
    <mergeCell ref="I43:I48"/>
    <mergeCell ref="J43:J48"/>
    <mergeCell ref="A49:A53"/>
    <mergeCell ref="H49:H53"/>
    <mergeCell ref="I49:I53"/>
    <mergeCell ref="J49:J53"/>
    <mergeCell ref="A43:A48"/>
    <mergeCell ref="H23:H27"/>
    <mergeCell ref="I23:I27"/>
    <mergeCell ref="J23:J27"/>
    <mergeCell ref="A28:A31"/>
    <mergeCell ref="H28:J31"/>
    <mergeCell ref="I2:I3"/>
    <mergeCell ref="J2:J3"/>
    <mergeCell ref="A4:G4"/>
    <mergeCell ref="H4:J4"/>
    <mergeCell ref="C2:C3"/>
    <mergeCell ref="D2:D3"/>
    <mergeCell ref="E2:E3"/>
    <mergeCell ref="G2:G3"/>
    <mergeCell ref="H2:H3"/>
    <mergeCell ref="F2:F3"/>
    <mergeCell ref="A5:J5"/>
    <mergeCell ref="A6:A11"/>
    <mergeCell ref="H6:H11"/>
    <mergeCell ref="I6:I11"/>
    <mergeCell ref="J6:J11"/>
    <mergeCell ref="A12:A14"/>
    <mergeCell ref="A15:K15"/>
    <mergeCell ref="B80:G80"/>
    <mergeCell ref="A2:B3"/>
    <mergeCell ref="A54:A57"/>
    <mergeCell ref="A77:K77"/>
    <mergeCell ref="A23:A27"/>
    <mergeCell ref="A33:J33"/>
    <mergeCell ref="A34:A38"/>
    <mergeCell ref="H34:H38"/>
  </mergeCells>
  <printOptions horizontalCentered="1" verticalCentered="1"/>
  <pageMargins left="0.75" right="0.75" top="0" bottom="0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="128" zoomScaleNormal="128" workbookViewId="0" topLeftCell="A64">
      <selection activeCell="C64" sqref="C64"/>
    </sheetView>
  </sheetViews>
  <sheetFormatPr defaultColWidth="11.421875" defaultRowHeight="12.75"/>
  <cols>
    <col min="1" max="1" width="10.7109375" style="28" customWidth="1"/>
    <col min="2" max="2" width="20.7109375" style="1" customWidth="1"/>
    <col min="3" max="7" width="5.7109375" style="1" customWidth="1"/>
    <col min="8" max="11" width="5.7109375" style="3" customWidth="1"/>
    <col min="12" max="16384" width="11.421875" style="1" customWidth="1"/>
  </cols>
  <sheetData>
    <row r="1" spans="1:11" ht="15" customHeight="1" thickBot="1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2" customFormat="1" ht="15" customHeight="1">
      <c r="A2" s="141" t="s">
        <v>0</v>
      </c>
      <c r="B2" s="142"/>
      <c r="C2" s="76" t="s">
        <v>45</v>
      </c>
      <c r="D2" s="76" t="s">
        <v>36</v>
      </c>
      <c r="E2" s="76" t="s">
        <v>64</v>
      </c>
      <c r="F2" s="76" t="s">
        <v>65</v>
      </c>
      <c r="G2" s="76" t="s">
        <v>66</v>
      </c>
      <c r="H2" s="76" t="s">
        <v>40</v>
      </c>
      <c r="I2" s="76" t="s">
        <v>41</v>
      </c>
      <c r="J2" s="76" t="s">
        <v>42</v>
      </c>
      <c r="K2" s="120" t="s">
        <v>69</v>
      </c>
    </row>
    <row r="3" spans="1:11" ht="15" customHeight="1" thickBot="1">
      <c r="A3" s="102"/>
      <c r="B3" s="123"/>
      <c r="C3" s="77"/>
      <c r="D3" s="77"/>
      <c r="E3" s="77"/>
      <c r="F3" s="77"/>
      <c r="G3" s="77"/>
      <c r="H3" s="78"/>
      <c r="I3" s="78"/>
      <c r="J3" s="78"/>
      <c r="K3" s="121"/>
    </row>
    <row r="4" spans="1:10" ht="4.5" customHeight="1" thickBot="1">
      <c r="A4" s="101"/>
      <c r="B4" s="101"/>
      <c r="C4" s="101"/>
      <c r="D4" s="101"/>
      <c r="E4" s="101"/>
      <c r="F4" s="101"/>
      <c r="G4" s="101"/>
      <c r="H4" s="80"/>
      <c r="I4" s="80"/>
      <c r="J4" s="80"/>
    </row>
    <row r="5" spans="1:10" ht="15" customHeight="1" thickBot="1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3"/>
    </row>
    <row r="6" spans="1:11" ht="12" customHeight="1">
      <c r="A6" s="68" t="s">
        <v>32</v>
      </c>
      <c r="B6" s="29" t="s">
        <v>13</v>
      </c>
      <c r="C6" s="4">
        <v>60</v>
      </c>
      <c r="D6" s="6">
        <f>(58*C6)/100</f>
        <v>34.8</v>
      </c>
      <c r="E6" s="6">
        <f>(2*C6)/10</f>
        <v>12</v>
      </c>
      <c r="F6" s="6">
        <f>(693*C6)/10000</f>
        <v>4.158</v>
      </c>
      <c r="G6" s="6">
        <f>(44*C6)/10</f>
        <v>264</v>
      </c>
      <c r="H6" s="125">
        <f>SUM(C6:C11)</f>
        <v>165</v>
      </c>
      <c r="I6" s="127">
        <f>SUM(G6:G11)</f>
        <v>847.1495</v>
      </c>
      <c r="J6" s="130">
        <f>I6/H6</f>
        <v>5.134239393939394</v>
      </c>
      <c r="K6" s="120">
        <v>0</v>
      </c>
    </row>
    <row r="7" spans="1:11" ht="12" customHeight="1">
      <c r="A7" s="68"/>
      <c r="B7" s="29" t="s">
        <v>3</v>
      </c>
      <c r="C7" s="4">
        <v>25</v>
      </c>
      <c r="D7" s="6">
        <f>(5433*C7)/10000</f>
        <v>13.5825</v>
      </c>
      <c r="E7" s="6">
        <f>(3433*C7)/10000</f>
        <v>8.5825</v>
      </c>
      <c r="F7" s="6">
        <f>(767*C7)/10000</f>
        <v>1.9175</v>
      </c>
      <c r="G7" s="6">
        <f>(55667*C7)/10000</f>
        <v>139.1675</v>
      </c>
      <c r="H7" s="125"/>
      <c r="I7" s="128"/>
      <c r="J7" s="130"/>
      <c r="K7" s="122"/>
    </row>
    <row r="8" spans="1:11" ht="12" customHeight="1">
      <c r="A8" s="68"/>
      <c r="B8" s="29" t="s">
        <v>49</v>
      </c>
      <c r="C8" s="4">
        <v>15</v>
      </c>
      <c r="D8" s="6">
        <f>(519*C8)/1000</f>
        <v>7.785</v>
      </c>
      <c r="E8" s="6">
        <f>(1*C8)/100</f>
        <v>0.15</v>
      </c>
      <c r="F8" s="6">
        <f>(353*C8)/1000</f>
        <v>5.295</v>
      </c>
      <c r="G8" s="6">
        <f>(358*C8)/100</f>
        <v>53.7</v>
      </c>
      <c r="H8" s="125"/>
      <c r="I8" s="128"/>
      <c r="J8" s="130"/>
      <c r="K8" s="122"/>
    </row>
    <row r="9" spans="1:11" ht="12" customHeight="1">
      <c r="A9" s="68"/>
      <c r="B9" s="29" t="s">
        <v>4</v>
      </c>
      <c r="C9" s="4">
        <v>15</v>
      </c>
      <c r="D9" s="6">
        <f>(975*C9)/1000</f>
        <v>14.625</v>
      </c>
      <c r="E9" s="6">
        <v>0</v>
      </c>
      <c r="F9" s="6">
        <v>0</v>
      </c>
      <c r="G9" s="6">
        <f>(39188*C9)/10000</f>
        <v>58.782</v>
      </c>
      <c r="H9" s="125"/>
      <c r="I9" s="128"/>
      <c r="J9" s="130"/>
      <c r="K9" s="122"/>
    </row>
    <row r="10" spans="1:11" ht="12" customHeight="1">
      <c r="A10" s="68"/>
      <c r="B10" s="29" t="s">
        <v>18</v>
      </c>
      <c r="C10" s="4">
        <v>20</v>
      </c>
      <c r="D10" s="6">
        <f>(75*C10)/100</f>
        <v>15</v>
      </c>
      <c r="E10" s="6">
        <v>0</v>
      </c>
      <c r="F10" s="6">
        <f>(2*C10)/100</f>
        <v>0.4</v>
      </c>
      <c r="G10" s="6">
        <f>(3075*C10)/1000</f>
        <v>61.5</v>
      </c>
      <c r="H10" s="125"/>
      <c r="I10" s="128"/>
      <c r="J10" s="130"/>
      <c r="K10" s="122"/>
    </row>
    <row r="11" spans="1:11" ht="12" customHeight="1" thickBot="1">
      <c r="A11" s="107"/>
      <c r="B11" s="30" t="s">
        <v>5</v>
      </c>
      <c r="C11" s="8">
        <v>30</v>
      </c>
      <c r="D11" s="12">
        <v>0</v>
      </c>
      <c r="E11" s="12">
        <f>C11</f>
        <v>30</v>
      </c>
      <c r="F11" s="12">
        <v>0</v>
      </c>
      <c r="G11" s="12">
        <f>9*C11</f>
        <v>270</v>
      </c>
      <c r="H11" s="126"/>
      <c r="I11" s="129"/>
      <c r="J11" s="131"/>
      <c r="K11" s="121"/>
    </row>
    <row r="12" spans="1:11" ht="12" customHeight="1" thickBot="1">
      <c r="A12" s="67" t="s">
        <v>44</v>
      </c>
      <c r="B12" s="31" t="s">
        <v>35</v>
      </c>
      <c r="C12" s="6">
        <v>30</v>
      </c>
      <c r="D12" s="6">
        <f>(635*C12)/1000</f>
        <v>19.05</v>
      </c>
      <c r="E12" s="6">
        <f>(17*C12)/10000</f>
        <v>0.051</v>
      </c>
      <c r="F12" s="6">
        <f>(33*C12)/10000</f>
        <v>0.099</v>
      </c>
      <c r="G12" s="6">
        <f>(253*C12)/100</f>
        <v>75.9</v>
      </c>
      <c r="H12" s="109"/>
      <c r="I12" s="110"/>
      <c r="J12" s="110"/>
      <c r="K12" s="13">
        <v>0</v>
      </c>
    </row>
    <row r="13" spans="1:11" ht="12" customHeight="1" thickBot="1">
      <c r="A13" s="68"/>
      <c r="B13" s="31" t="s">
        <v>38</v>
      </c>
      <c r="C13" s="6">
        <v>24.4</v>
      </c>
      <c r="D13" s="6">
        <f>(7*C13)/10</f>
        <v>17.08</v>
      </c>
      <c r="E13" s="6">
        <f>(13*C13)/100</f>
        <v>3.1719999999999997</v>
      </c>
      <c r="F13" s="6">
        <f>(1*C13)/10</f>
        <v>2.44</v>
      </c>
      <c r="G13" s="6">
        <f>(435*C13)/100</f>
        <v>106.14</v>
      </c>
      <c r="H13" s="109"/>
      <c r="I13" s="110"/>
      <c r="J13" s="110"/>
      <c r="K13" s="13">
        <v>0</v>
      </c>
    </row>
    <row r="14" spans="1:11" ht="12" customHeight="1" thickBot="1">
      <c r="A14" s="76"/>
      <c r="B14" s="34" t="s">
        <v>15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109"/>
      <c r="I14" s="111"/>
      <c r="J14" s="111"/>
      <c r="K14" s="14">
        <v>0</v>
      </c>
    </row>
    <row r="15" spans="1:11" ht="4.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15" customHeight="1" thickBot="1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23"/>
      <c r="K16" s="39"/>
    </row>
    <row r="17" spans="1:11" ht="12" customHeight="1" thickBot="1">
      <c r="A17" s="107" t="s">
        <v>9</v>
      </c>
      <c r="B17" s="29" t="s">
        <v>8</v>
      </c>
      <c r="C17" s="6">
        <v>60</v>
      </c>
      <c r="D17" s="6">
        <f>(536*C17)/1000</f>
        <v>32.16</v>
      </c>
      <c r="E17" s="6">
        <f>(3*C17)/10</f>
        <v>18</v>
      </c>
      <c r="F17" s="6">
        <f>(8*C17)/100</f>
        <v>4.8</v>
      </c>
      <c r="G17" s="6">
        <f>(516*C17)/100</f>
        <v>309.6</v>
      </c>
      <c r="H17" s="124">
        <f>SUM(C17:C22)</f>
        <v>160</v>
      </c>
      <c r="I17" s="127">
        <f>SUM(G17:G22)</f>
        <v>884.1500000000001</v>
      </c>
      <c r="J17" s="130">
        <f>I17/H17</f>
        <v>5.5259375</v>
      </c>
      <c r="K17" s="120">
        <v>0</v>
      </c>
    </row>
    <row r="18" spans="1:11" ht="12" customHeight="1" thickBot="1">
      <c r="A18" s="79"/>
      <c r="B18" s="29" t="s">
        <v>13</v>
      </c>
      <c r="C18" s="6">
        <v>25</v>
      </c>
      <c r="D18" s="6">
        <f>(58*C18)/100</f>
        <v>14.5</v>
      </c>
      <c r="E18" s="6">
        <f>(2*C18)/10</f>
        <v>5</v>
      </c>
      <c r="F18" s="6">
        <f>(7*C18)/100</f>
        <v>1.75</v>
      </c>
      <c r="G18" s="6">
        <f>(44*C18)/10</f>
        <v>110</v>
      </c>
      <c r="H18" s="125"/>
      <c r="I18" s="128"/>
      <c r="J18" s="130"/>
      <c r="K18" s="122"/>
    </row>
    <row r="19" spans="1:11" ht="12" customHeight="1" thickBot="1">
      <c r="A19" s="79"/>
      <c r="B19" s="29" t="s">
        <v>14</v>
      </c>
      <c r="C19" s="6">
        <v>15</v>
      </c>
      <c r="D19" s="6">
        <f>(8*C19)/100</f>
        <v>1.2</v>
      </c>
      <c r="E19" s="6">
        <f>(535*C19)/1000</f>
        <v>8.025</v>
      </c>
      <c r="F19" s="6">
        <f>(15*C19)/100</f>
        <v>2.25</v>
      </c>
      <c r="G19" s="6">
        <f>(579*C19)/100</f>
        <v>86.85</v>
      </c>
      <c r="H19" s="125"/>
      <c r="I19" s="128"/>
      <c r="J19" s="130"/>
      <c r="K19" s="122"/>
    </row>
    <row r="20" spans="1:11" ht="12" customHeight="1" thickBot="1">
      <c r="A20" s="79"/>
      <c r="B20" s="29" t="s">
        <v>49</v>
      </c>
      <c r="C20" s="4">
        <v>15</v>
      </c>
      <c r="D20" s="6">
        <f>(519*C20)/1000</f>
        <v>7.785</v>
      </c>
      <c r="E20" s="6">
        <f>(1*C20)/100</f>
        <v>0.15</v>
      </c>
      <c r="F20" s="6">
        <f>(353*C20)/1000</f>
        <v>5.295</v>
      </c>
      <c r="G20" s="6">
        <f>(358*C20)/100</f>
        <v>53.7</v>
      </c>
      <c r="H20" s="125"/>
      <c r="I20" s="128"/>
      <c r="J20" s="130"/>
      <c r="K20" s="122"/>
    </row>
    <row r="21" spans="1:11" ht="12" customHeight="1" thickBot="1">
      <c r="A21" s="79"/>
      <c r="B21" s="29" t="s">
        <v>7</v>
      </c>
      <c r="C21" s="6">
        <v>15</v>
      </c>
      <c r="D21" s="6">
        <f>(95*C21)/100</f>
        <v>14.25</v>
      </c>
      <c r="E21" s="6">
        <v>0</v>
      </c>
      <c r="F21" s="6">
        <v>0</v>
      </c>
      <c r="G21" s="6">
        <f>(36*C21)/10</f>
        <v>54</v>
      </c>
      <c r="H21" s="125"/>
      <c r="I21" s="128"/>
      <c r="J21" s="130"/>
      <c r="K21" s="122"/>
    </row>
    <row r="22" spans="1:11" ht="12" customHeight="1" thickBot="1">
      <c r="A22" s="79"/>
      <c r="B22" s="32" t="s">
        <v>5</v>
      </c>
      <c r="C22" s="11">
        <v>30</v>
      </c>
      <c r="D22" s="11">
        <v>0</v>
      </c>
      <c r="E22" s="11">
        <f>(1*C22)</f>
        <v>30</v>
      </c>
      <c r="F22" s="11">
        <v>0</v>
      </c>
      <c r="G22" s="11">
        <f>(9*C22)</f>
        <v>270</v>
      </c>
      <c r="H22" s="126"/>
      <c r="I22" s="129"/>
      <c r="J22" s="131"/>
      <c r="K22" s="121"/>
    </row>
    <row r="23" spans="1:11" ht="12" customHeight="1" thickBot="1">
      <c r="A23" s="79" t="s">
        <v>55</v>
      </c>
      <c r="B23" s="29" t="s">
        <v>13</v>
      </c>
      <c r="C23" s="6">
        <v>40</v>
      </c>
      <c r="D23" s="6">
        <f>(58*C23)/100</f>
        <v>23.2</v>
      </c>
      <c r="E23" s="6">
        <f>(2*C23)/10</f>
        <v>8</v>
      </c>
      <c r="F23" s="6">
        <f>(7*C23)/100</f>
        <v>2.8</v>
      </c>
      <c r="G23" s="6">
        <f>(44*C23)/10</f>
        <v>176</v>
      </c>
      <c r="H23" s="139">
        <f>SUM(C23:C27)</f>
        <v>110</v>
      </c>
      <c r="I23" s="140">
        <f>SUM(G23:G27)</f>
        <v>617.6</v>
      </c>
      <c r="J23" s="130">
        <f>I23/H23</f>
        <v>5.614545454545455</v>
      </c>
      <c r="K23" s="120">
        <v>0</v>
      </c>
    </row>
    <row r="24" spans="1:11" ht="12" customHeight="1" thickBot="1">
      <c r="A24" s="79"/>
      <c r="B24" s="29" t="s">
        <v>14</v>
      </c>
      <c r="C24" s="6">
        <v>15</v>
      </c>
      <c r="D24" s="6">
        <f>(8*C24)/100</f>
        <v>1.2</v>
      </c>
      <c r="E24" s="6">
        <f>(535*C24)/1000</f>
        <v>8.025</v>
      </c>
      <c r="F24" s="6">
        <f>(15*C24)/100</f>
        <v>2.25</v>
      </c>
      <c r="G24" s="6">
        <f>(579*C24)/100</f>
        <v>86.85</v>
      </c>
      <c r="H24" s="125"/>
      <c r="I24" s="128"/>
      <c r="J24" s="130"/>
      <c r="K24" s="122"/>
    </row>
    <row r="25" spans="1:11" ht="12" customHeight="1" thickBot="1">
      <c r="A25" s="79"/>
      <c r="B25" s="29" t="s">
        <v>7</v>
      </c>
      <c r="C25" s="6">
        <v>15</v>
      </c>
      <c r="D25" s="6">
        <f>(95*C25)/100</f>
        <v>14.25</v>
      </c>
      <c r="E25" s="6">
        <v>0</v>
      </c>
      <c r="F25" s="6">
        <v>0</v>
      </c>
      <c r="G25" s="6">
        <f>(36*C25)/10</f>
        <v>54</v>
      </c>
      <c r="H25" s="125"/>
      <c r="I25" s="128"/>
      <c r="J25" s="130"/>
      <c r="K25" s="122"/>
    </row>
    <row r="26" spans="1:11" ht="12" customHeight="1" thickBot="1">
      <c r="A26" s="79"/>
      <c r="B26" s="29" t="s">
        <v>18</v>
      </c>
      <c r="C26" s="4">
        <v>10</v>
      </c>
      <c r="D26" s="6">
        <f>(75*C26)/100</f>
        <v>7.5</v>
      </c>
      <c r="E26" s="6">
        <v>0</v>
      </c>
      <c r="F26" s="6">
        <f>(2*C26)/100</f>
        <v>0.2</v>
      </c>
      <c r="G26" s="6">
        <f>(3075*C26)/1000</f>
        <v>30.75</v>
      </c>
      <c r="H26" s="125"/>
      <c r="I26" s="128"/>
      <c r="J26" s="130"/>
      <c r="K26" s="122"/>
    </row>
    <row r="27" spans="1:11" ht="12" customHeight="1" thickBot="1">
      <c r="A27" s="79"/>
      <c r="B27" s="32" t="s">
        <v>5</v>
      </c>
      <c r="C27" s="11">
        <v>30</v>
      </c>
      <c r="D27" s="11">
        <v>0</v>
      </c>
      <c r="E27" s="11">
        <f>(1*C27)</f>
        <v>30</v>
      </c>
      <c r="F27" s="11">
        <v>0</v>
      </c>
      <c r="G27" s="11">
        <f>(9*C27)</f>
        <v>270</v>
      </c>
      <c r="H27" s="126"/>
      <c r="I27" s="129"/>
      <c r="J27" s="131"/>
      <c r="K27" s="121"/>
    </row>
    <row r="28" spans="1:11" ht="12" customHeight="1" thickBot="1">
      <c r="A28" s="67" t="s">
        <v>43</v>
      </c>
      <c r="B28" s="33" t="s">
        <v>33</v>
      </c>
      <c r="C28" s="4">
        <v>50</v>
      </c>
      <c r="D28" s="6">
        <f>(1*C28)/100</f>
        <v>0.5</v>
      </c>
      <c r="E28" s="6">
        <f>(35*C28)/100</f>
        <v>17.5</v>
      </c>
      <c r="F28" s="6">
        <f>(29*C28)/100</f>
        <v>14.5</v>
      </c>
      <c r="G28" s="6">
        <f>(435*C28)/100</f>
        <v>217.5</v>
      </c>
      <c r="H28" s="109"/>
      <c r="I28" s="110"/>
      <c r="J28" s="110"/>
      <c r="K28" s="13">
        <v>0</v>
      </c>
    </row>
    <row r="29" spans="1:11" ht="12" customHeight="1" thickBot="1">
      <c r="A29" s="68"/>
      <c r="B29" s="29" t="s">
        <v>34</v>
      </c>
      <c r="C29" s="4">
        <v>50</v>
      </c>
      <c r="D29" s="6">
        <f>(2*C29)/100</f>
        <v>1</v>
      </c>
      <c r="E29" s="6">
        <f>(352*C29)/1000</f>
        <v>17.6</v>
      </c>
      <c r="F29" s="6">
        <f>(145*C29)/1000</f>
        <v>7.25</v>
      </c>
      <c r="G29" s="6">
        <f>(383*C29)/100</f>
        <v>191.5</v>
      </c>
      <c r="H29" s="109"/>
      <c r="I29" s="110"/>
      <c r="J29" s="110"/>
      <c r="K29" s="13">
        <v>0</v>
      </c>
    </row>
    <row r="30" spans="1:11" ht="12" customHeight="1" thickBot="1">
      <c r="A30" s="76"/>
      <c r="B30" s="29" t="s">
        <v>39</v>
      </c>
      <c r="C30" s="4">
        <v>61</v>
      </c>
      <c r="D30" s="6">
        <f>(7*C30)/10</f>
        <v>42.7</v>
      </c>
      <c r="E30" s="6">
        <f>(13*C30)/100</f>
        <v>7.93</v>
      </c>
      <c r="F30" s="6">
        <f>(1*C30)/10</f>
        <v>6.1</v>
      </c>
      <c r="G30" s="6">
        <f>(435*C30)/100</f>
        <v>265.35</v>
      </c>
      <c r="H30" s="109"/>
      <c r="I30" s="110"/>
      <c r="J30" s="110"/>
      <c r="K30" s="13">
        <v>0</v>
      </c>
    </row>
    <row r="31" spans="1:11" ht="12" customHeight="1" thickBot="1">
      <c r="A31" s="76"/>
      <c r="B31" s="29" t="s">
        <v>6</v>
      </c>
      <c r="C31" s="4">
        <v>92</v>
      </c>
      <c r="D31" s="6">
        <f>(9565*C31)/10000</f>
        <v>87.998</v>
      </c>
      <c r="E31" s="6">
        <v>0</v>
      </c>
      <c r="F31" s="6">
        <v>0</v>
      </c>
      <c r="G31" s="6">
        <f>(3913*C31)/1000</f>
        <v>359.996</v>
      </c>
      <c r="H31" s="109"/>
      <c r="I31" s="111"/>
      <c r="J31" s="111"/>
      <c r="K31" s="14">
        <v>0</v>
      </c>
    </row>
    <row r="32" spans="1:11" ht="4.5" customHeight="1" thickBo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ht="15" customHeight="1" thickBot="1">
      <c r="A33" s="102" t="s">
        <v>12</v>
      </c>
      <c r="B33" s="103"/>
      <c r="C33" s="103"/>
      <c r="D33" s="103"/>
      <c r="E33" s="103"/>
      <c r="F33" s="103"/>
      <c r="G33" s="103"/>
      <c r="H33" s="103"/>
      <c r="I33" s="103"/>
      <c r="J33" s="123"/>
      <c r="K33" s="39"/>
    </row>
    <row r="34" spans="1:11" ht="12" customHeight="1" thickBot="1">
      <c r="A34" s="107" t="s">
        <v>31</v>
      </c>
      <c r="B34" s="29" t="s">
        <v>19</v>
      </c>
      <c r="C34" s="6">
        <v>100</v>
      </c>
      <c r="D34" s="6">
        <v>0</v>
      </c>
      <c r="E34" s="6">
        <f>(9*C34)/1000</f>
        <v>0.9</v>
      </c>
      <c r="F34" s="6">
        <f>(228*C34)/1000</f>
        <v>22.8</v>
      </c>
      <c r="G34" s="6">
        <f>C34</f>
        <v>100</v>
      </c>
      <c r="H34" s="143">
        <f>SUM(C34:C38)</f>
        <v>265</v>
      </c>
      <c r="I34" s="134">
        <f>SUM(G34:G38)</f>
        <v>529.6</v>
      </c>
      <c r="J34" s="131">
        <f>I34/H34</f>
        <v>1.998490566037736</v>
      </c>
      <c r="K34" s="120">
        <v>0</v>
      </c>
    </row>
    <row r="35" spans="1:11" ht="12" customHeight="1" thickBot="1">
      <c r="A35" s="79"/>
      <c r="B35" s="29" t="s">
        <v>20</v>
      </c>
      <c r="C35" s="6">
        <v>25</v>
      </c>
      <c r="D35" s="6">
        <f>(7668*C35)/10000</f>
        <v>19.17</v>
      </c>
      <c r="E35" s="6">
        <f>(348*C35)/10000</f>
        <v>0.87</v>
      </c>
      <c r="F35" s="6">
        <f>(98*C35)/1000</f>
        <v>2.45</v>
      </c>
      <c r="G35" s="6">
        <f>(378*C35)/100</f>
        <v>94.5</v>
      </c>
      <c r="H35" s="137"/>
      <c r="I35" s="135"/>
      <c r="J35" s="132"/>
      <c r="K35" s="122"/>
    </row>
    <row r="36" spans="1:11" ht="12" customHeight="1" thickBot="1">
      <c r="A36" s="79"/>
      <c r="B36" s="29" t="s">
        <v>10</v>
      </c>
      <c r="C36" s="6">
        <v>10</v>
      </c>
      <c r="D36" s="6">
        <f>(2*C36)/100</f>
        <v>0.2</v>
      </c>
      <c r="E36" s="6">
        <f>(27*C36)/100</f>
        <v>2.7</v>
      </c>
      <c r="F36" s="6">
        <f>(4*C36)/10</f>
        <v>4</v>
      </c>
      <c r="G36" s="6">
        <f>(411*C36)/100</f>
        <v>41.1</v>
      </c>
      <c r="H36" s="137"/>
      <c r="I36" s="135"/>
      <c r="J36" s="132"/>
      <c r="K36" s="122"/>
    </row>
    <row r="37" spans="1:11" ht="12" customHeight="1" thickBot="1">
      <c r="A37" s="79"/>
      <c r="B37" s="29" t="s">
        <v>37</v>
      </c>
      <c r="C37" s="6">
        <v>100</v>
      </c>
      <c r="D37" s="6">
        <f>(49*C37)/1000</f>
        <v>4.9</v>
      </c>
      <c r="E37" s="6">
        <v>0</v>
      </c>
      <c r="F37" s="6">
        <f>(1*C37)/100</f>
        <v>1</v>
      </c>
      <c r="G37" s="6">
        <f>(24*C37)/100</f>
        <v>24</v>
      </c>
      <c r="H37" s="137"/>
      <c r="I37" s="135"/>
      <c r="J37" s="132"/>
      <c r="K37" s="122"/>
    </row>
    <row r="38" spans="1:11" ht="12" customHeight="1" thickBot="1">
      <c r="A38" s="79"/>
      <c r="B38" s="32" t="s">
        <v>5</v>
      </c>
      <c r="C38" s="6">
        <v>30</v>
      </c>
      <c r="D38" s="6">
        <v>0</v>
      </c>
      <c r="E38" s="6">
        <f>C38</f>
        <v>30</v>
      </c>
      <c r="F38" s="6">
        <v>0</v>
      </c>
      <c r="G38" s="6">
        <f>9*C38</f>
        <v>270</v>
      </c>
      <c r="H38" s="137"/>
      <c r="I38" s="135"/>
      <c r="J38" s="133"/>
      <c r="K38" s="121"/>
    </row>
    <row r="39" spans="1:11" ht="12" customHeight="1" thickBot="1">
      <c r="A39" s="79" t="s">
        <v>22</v>
      </c>
      <c r="B39" s="29" t="s">
        <v>19</v>
      </c>
      <c r="C39" s="5">
        <v>100</v>
      </c>
      <c r="D39" s="5">
        <v>0</v>
      </c>
      <c r="E39" s="5">
        <f>(9*C39)/1000</f>
        <v>0.9</v>
      </c>
      <c r="F39" s="5">
        <f>(228*C39)/1000</f>
        <v>22.8</v>
      </c>
      <c r="G39" s="5">
        <f>C39</f>
        <v>100</v>
      </c>
      <c r="H39" s="136">
        <f>SUM(C39:C42)</f>
        <v>255</v>
      </c>
      <c r="I39" s="138">
        <f>SUM(G39:G42)</f>
        <v>470.5</v>
      </c>
      <c r="J39" s="132">
        <f>I39/H39</f>
        <v>1.8450980392156864</v>
      </c>
      <c r="K39" s="120">
        <v>0</v>
      </c>
    </row>
    <row r="40" spans="1:11" ht="12" customHeight="1" thickBot="1">
      <c r="A40" s="79"/>
      <c r="B40" s="29" t="s">
        <v>20</v>
      </c>
      <c r="C40" s="6">
        <v>25</v>
      </c>
      <c r="D40" s="6">
        <f>(7668*C40)/10000</f>
        <v>19.17</v>
      </c>
      <c r="E40" s="6">
        <f>(348*C40)/10000</f>
        <v>0.87</v>
      </c>
      <c r="F40" s="6">
        <f>(98*C40)/1000</f>
        <v>2.45</v>
      </c>
      <c r="G40" s="6">
        <f>(378*C40)/100</f>
        <v>94.5</v>
      </c>
      <c r="H40" s="137"/>
      <c r="I40" s="135"/>
      <c r="J40" s="132"/>
      <c r="K40" s="122"/>
    </row>
    <row r="41" spans="1:11" ht="12" customHeight="1" thickBot="1">
      <c r="A41" s="79"/>
      <c r="B41" s="29" t="s">
        <v>21</v>
      </c>
      <c r="C41" s="6">
        <v>100</v>
      </c>
      <c r="D41" s="6">
        <f>(1*C41)/100</f>
        <v>1</v>
      </c>
      <c r="E41" s="6">
        <v>0</v>
      </c>
      <c r="F41" s="6">
        <f>(55*C41)/10000</f>
        <v>0.55</v>
      </c>
      <c r="G41" s="6">
        <f>(6*C41)/100</f>
        <v>6</v>
      </c>
      <c r="H41" s="137"/>
      <c r="I41" s="135"/>
      <c r="J41" s="132"/>
      <c r="K41" s="122"/>
    </row>
    <row r="42" spans="1:11" ht="12" customHeight="1" thickBot="1">
      <c r="A42" s="79"/>
      <c r="B42" s="32" t="s">
        <v>5</v>
      </c>
      <c r="C42" s="6">
        <v>30</v>
      </c>
      <c r="D42" s="6">
        <v>0</v>
      </c>
      <c r="E42" s="6">
        <f>C42</f>
        <v>30</v>
      </c>
      <c r="F42" s="6">
        <v>0</v>
      </c>
      <c r="G42" s="6">
        <f>9*C42</f>
        <v>270</v>
      </c>
      <c r="H42" s="137"/>
      <c r="I42" s="135"/>
      <c r="J42" s="132"/>
      <c r="K42" s="121"/>
    </row>
    <row r="43" spans="1:11" ht="12" customHeight="1" thickBot="1">
      <c r="A43" s="79" t="s">
        <v>25</v>
      </c>
      <c r="B43" s="29" t="s">
        <v>19</v>
      </c>
      <c r="C43" s="5">
        <v>100</v>
      </c>
      <c r="D43" s="5">
        <v>0</v>
      </c>
      <c r="E43" s="5">
        <f>(9*C43)/1000</f>
        <v>0.9</v>
      </c>
      <c r="F43" s="5">
        <f>(228*C43)/1000</f>
        <v>22.8</v>
      </c>
      <c r="G43" s="5">
        <f>C43</f>
        <v>100</v>
      </c>
      <c r="H43" s="136">
        <f>SUM(C43:C48)</f>
        <v>375</v>
      </c>
      <c r="I43" s="138">
        <f>SUM(G43:G48)</f>
        <v>673.899</v>
      </c>
      <c r="J43" s="131">
        <f>I43/H43</f>
        <v>1.797064</v>
      </c>
      <c r="K43" s="120">
        <v>0</v>
      </c>
    </row>
    <row r="44" spans="1:11" ht="12" customHeight="1" thickBot="1">
      <c r="A44" s="79"/>
      <c r="B44" s="29" t="s">
        <v>23</v>
      </c>
      <c r="C44" s="6">
        <v>130</v>
      </c>
      <c r="D44" s="6">
        <f>(4131*C44)/10000</f>
        <v>53.703</v>
      </c>
      <c r="E44" s="6">
        <f>(127*C44)/10000</f>
        <v>1.651</v>
      </c>
      <c r="F44" s="6">
        <f>(685*C44)/10000</f>
        <v>8.905</v>
      </c>
      <c r="G44" s="6">
        <f>(20423*C44)/10000</f>
        <v>265.499</v>
      </c>
      <c r="H44" s="137"/>
      <c r="I44" s="135"/>
      <c r="J44" s="132"/>
      <c r="K44" s="122"/>
    </row>
    <row r="45" spans="1:11" ht="12" customHeight="1" thickBot="1">
      <c r="A45" s="79"/>
      <c r="B45" s="29" t="s">
        <v>24</v>
      </c>
      <c r="C45" s="6">
        <v>100</v>
      </c>
      <c r="D45" s="6">
        <f>(67*C45)/1000</f>
        <v>6.7</v>
      </c>
      <c r="E45" s="6">
        <f>(6*C45)/1000</f>
        <v>0.6</v>
      </c>
      <c r="F45" s="6">
        <f>(19*C45)/1000</f>
        <v>1.9</v>
      </c>
      <c r="G45" s="6">
        <f>(4*C45)/100</f>
        <v>4</v>
      </c>
      <c r="H45" s="137"/>
      <c r="I45" s="135"/>
      <c r="J45" s="132"/>
      <c r="K45" s="122"/>
    </row>
    <row r="46" spans="1:11" ht="12" customHeight="1" thickBot="1">
      <c r="A46" s="79"/>
      <c r="B46" s="29" t="s">
        <v>18</v>
      </c>
      <c r="C46" s="4">
        <v>10</v>
      </c>
      <c r="D46" s="6">
        <f>(75*C46)/100</f>
        <v>7.5</v>
      </c>
      <c r="E46" s="6">
        <v>0</v>
      </c>
      <c r="F46" s="6">
        <f>(2*C46)/100</f>
        <v>0.2</v>
      </c>
      <c r="G46" s="6">
        <f>(3075*C46)/1000</f>
        <v>30.75</v>
      </c>
      <c r="H46" s="137"/>
      <c r="I46" s="135"/>
      <c r="J46" s="133"/>
      <c r="K46" s="122"/>
    </row>
    <row r="47" spans="1:11" ht="12" customHeight="1" thickBot="1">
      <c r="A47" s="79"/>
      <c r="B47" s="29" t="s">
        <v>54</v>
      </c>
      <c r="C47" s="4">
        <v>5</v>
      </c>
      <c r="D47" s="6">
        <f>(139*C47)/1000</f>
        <v>0.695</v>
      </c>
      <c r="E47" s="6">
        <f>(1*C47)/1000</f>
        <v>0.005</v>
      </c>
      <c r="F47" s="6">
        <f>(4*C47)/100</f>
        <v>0.2</v>
      </c>
      <c r="G47" s="6">
        <f>(73*C47)/100</f>
        <v>3.65</v>
      </c>
      <c r="H47" s="137"/>
      <c r="I47" s="135"/>
      <c r="J47" s="133"/>
      <c r="K47" s="122"/>
    </row>
    <row r="48" spans="1:11" ht="12" customHeight="1" thickBot="1">
      <c r="A48" s="79"/>
      <c r="B48" s="32" t="s">
        <v>5</v>
      </c>
      <c r="C48" s="6">
        <v>30</v>
      </c>
      <c r="D48" s="6">
        <v>0</v>
      </c>
      <c r="E48" s="6">
        <f>C48</f>
        <v>30</v>
      </c>
      <c r="F48" s="6">
        <v>0</v>
      </c>
      <c r="G48" s="6">
        <f>9*C48</f>
        <v>270</v>
      </c>
      <c r="H48" s="137"/>
      <c r="I48" s="135"/>
      <c r="J48" s="133"/>
      <c r="K48" s="121"/>
    </row>
    <row r="49" spans="1:11" ht="12" customHeight="1" thickBot="1">
      <c r="A49" s="79" t="s">
        <v>28</v>
      </c>
      <c r="B49" s="29" t="s">
        <v>19</v>
      </c>
      <c r="C49" s="5">
        <v>100</v>
      </c>
      <c r="D49" s="5">
        <v>0</v>
      </c>
      <c r="E49" s="5">
        <f>(9*C49)/1000</f>
        <v>0.9</v>
      </c>
      <c r="F49" s="5">
        <f>(228*C49)/1000</f>
        <v>22.8</v>
      </c>
      <c r="G49" s="5">
        <f>C49</f>
        <v>100</v>
      </c>
      <c r="H49" s="136">
        <f>SUM(C49:C53)</f>
        <v>440</v>
      </c>
      <c r="I49" s="138">
        <f>SUM(G49:G53)</f>
        <v>645.1</v>
      </c>
      <c r="J49" s="132">
        <f>I49/H49</f>
        <v>1.4661363636363638</v>
      </c>
      <c r="K49" s="120">
        <v>0</v>
      </c>
    </row>
    <row r="50" spans="1:11" ht="12" customHeight="1" thickBot="1">
      <c r="A50" s="79"/>
      <c r="B50" s="29" t="s">
        <v>26</v>
      </c>
      <c r="C50" s="6">
        <v>150</v>
      </c>
      <c r="D50" s="6">
        <f>(288*C50)/1000</f>
        <v>43.2</v>
      </c>
      <c r="E50" s="6">
        <v>0</v>
      </c>
      <c r="F50" s="6">
        <f>(5*C50)/100</f>
        <v>7.5</v>
      </c>
      <c r="G50" s="6">
        <f>(136*C50)/100</f>
        <v>204</v>
      </c>
      <c r="H50" s="137"/>
      <c r="I50" s="135"/>
      <c r="J50" s="132"/>
      <c r="K50" s="122"/>
    </row>
    <row r="51" spans="1:11" ht="12" customHeight="1" thickBot="1">
      <c r="A51" s="79"/>
      <c r="B51" s="29" t="s">
        <v>10</v>
      </c>
      <c r="C51" s="6">
        <v>10</v>
      </c>
      <c r="D51" s="6">
        <f>(2*C51)/100</f>
        <v>0.2</v>
      </c>
      <c r="E51" s="6">
        <f>(27*C51)/100</f>
        <v>2.7</v>
      </c>
      <c r="F51" s="6">
        <f>(4*C51)/10</f>
        <v>4</v>
      </c>
      <c r="G51" s="6">
        <f>(411*C51)/100</f>
        <v>41.1</v>
      </c>
      <c r="H51" s="137"/>
      <c r="I51" s="135"/>
      <c r="J51" s="132"/>
      <c r="K51" s="122"/>
    </row>
    <row r="52" spans="1:11" ht="12" customHeight="1" thickBot="1">
      <c r="A52" s="79"/>
      <c r="B52" s="29" t="s">
        <v>27</v>
      </c>
      <c r="C52" s="6">
        <v>150</v>
      </c>
      <c r="D52" s="6">
        <f>(2*C52)/100</f>
        <v>3</v>
      </c>
      <c r="E52" s="6">
        <v>0</v>
      </c>
      <c r="F52" s="6">
        <f>(3*C52)/100</f>
        <v>4.5</v>
      </c>
      <c r="G52" s="6">
        <f>(2*C52)/10</f>
        <v>30</v>
      </c>
      <c r="H52" s="137"/>
      <c r="I52" s="135"/>
      <c r="J52" s="132"/>
      <c r="K52" s="122"/>
    </row>
    <row r="53" spans="1:11" ht="12" customHeight="1" thickBot="1">
      <c r="A53" s="79"/>
      <c r="B53" s="32" t="s">
        <v>5</v>
      </c>
      <c r="C53" s="6">
        <v>30</v>
      </c>
      <c r="D53" s="6">
        <v>0</v>
      </c>
      <c r="E53" s="6">
        <f>C53</f>
        <v>30</v>
      </c>
      <c r="F53" s="6">
        <v>0</v>
      </c>
      <c r="G53" s="6">
        <f>9*C53</f>
        <v>270</v>
      </c>
      <c r="H53" s="137"/>
      <c r="I53" s="135"/>
      <c r="J53" s="132"/>
      <c r="K53" s="121"/>
    </row>
    <row r="54" spans="1:11" ht="12" customHeight="1" thickBot="1">
      <c r="A54" s="79" t="s">
        <v>67</v>
      </c>
      <c r="B54" s="29" t="s">
        <v>29</v>
      </c>
      <c r="C54" s="5">
        <v>100</v>
      </c>
      <c r="D54" s="5">
        <v>0</v>
      </c>
      <c r="E54" s="5">
        <f>(2*C54)/100</f>
        <v>2</v>
      </c>
      <c r="F54" s="5">
        <f>(19*C54)/100</f>
        <v>19</v>
      </c>
      <c r="G54" s="5">
        <f>(93*C54)/100</f>
        <v>93</v>
      </c>
      <c r="H54" s="136">
        <f>SUM(C54:C57)</f>
        <v>255</v>
      </c>
      <c r="I54" s="138">
        <f>SUM(G54:G57)</f>
        <v>473.5</v>
      </c>
      <c r="J54" s="131">
        <f>I54/H54</f>
        <v>1.8568627450980393</v>
      </c>
      <c r="K54" s="120">
        <v>0</v>
      </c>
    </row>
    <row r="55" spans="1:11" ht="12" customHeight="1" thickBot="1">
      <c r="A55" s="79"/>
      <c r="B55" s="29" t="s">
        <v>20</v>
      </c>
      <c r="C55" s="6">
        <v>25</v>
      </c>
      <c r="D55" s="6">
        <f>(7668*C55)/10000</f>
        <v>19.17</v>
      </c>
      <c r="E55" s="6">
        <f>(348*C55)/10000</f>
        <v>0.87</v>
      </c>
      <c r="F55" s="6">
        <f>(98*C55)/1000</f>
        <v>2.45</v>
      </c>
      <c r="G55" s="6">
        <f>(378*C55)/100</f>
        <v>94.5</v>
      </c>
      <c r="H55" s="137"/>
      <c r="I55" s="135"/>
      <c r="J55" s="132"/>
      <c r="K55" s="122"/>
    </row>
    <row r="56" spans="1:11" ht="12" customHeight="1" thickBot="1">
      <c r="A56" s="79"/>
      <c r="B56" s="29" t="s">
        <v>30</v>
      </c>
      <c r="C56" s="6">
        <v>100</v>
      </c>
      <c r="D56" s="6">
        <f>(2*C56)/100</f>
        <v>2</v>
      </c>
      <c r="E56" s="6">
        <v>0</v>
      </c>
      <c r="F56" s="6">
        <f>(2*C56)/100</f>
        <v>2</v>
      </c>
      <c r="G56" s="6">
        <f>(16*C56)/100</f>
        <v>16</v>
      </c>
      <c r="H56" s="137"/>
      <c r="I56" s="135"/>
      <c r="J56" s="132"/>
      <c r="K56" s="122"/>
    </row>
    <row r="57" spans="1:11" ht="12" customHeight="1" thickBot="1">
      <c r="A57" s="79"/>
      <c r="B57" s="32" t="s">
        <v>5</v>
      </c>
      <c r="C57" s="11">
        <v>30</v>
      </c>
      <c r="D57" s="11">
        <v>0</v>
      </c>
      <c r="E57" s="11">
        <f>C57</f>
        <v>30</v>
      </c>
      <c r="F57" s="11">
        <v>0</v>
      </c>
      <c r="G57" s="11">
        <f>9*C57</f>
        <v>270</v>
      </c>
      <c r="H57" s="137"/>
      <c r="I57" s="135"/>
      <c r="J57" s="133"/>
      <c r="K57" s="121"/>
    </row>
    <row r="58" spans="1:11" ht="12" customHeight="1" thickBot="1">
      <c r="A58" s="79" t="s">
        <v>57</v>
      </c>
      <c r="B58" s="29" t="s">
        <v>29</v>
      </c>
      <c r="C58" s="5">
        <v>100</v>
      </c>
      <c r="D58" s="5">
        <v>0</v>
      </c>
      <c r="E58" s="5">
        <f>(2*C58)/100</f>
        <v>2</v>
      </c>
      <c r="F58" s="5">
        <f>(19*C58)/100</f>
        <v>19</v>
      </c>
      <c r="G58" s="5">
        <f>(93*C58)/100</f>
        <v>93</v>
      </c>
      <c r="H58" s="139">
        <f>SUM(C58:C61)</f>
        <v>380</v>
      </c>
      <c r="I58" s="140">
        <f>SUM(G58:G61)</f>
        <v>583</v>
      </c>
      <c r="J58" s="132">
        <f>I58/H58</f>
        <v>1.5342105263157895</v>
      </c>
      <c r="K58" s="120">
        <v>0</v>
      </c>
    </row>
    <row r="59" spans="1:11" ht="12" customHeight="1" thickBot="1">
      <c r="A59" s="79"/>
      <c r="B59" s="29" t="s">
        <v>26</v>
      </c>
      <c r="C59" s="6">
        <v>150</v>
      </c>
      <c r="D59" s="6">
        <f>(288*C59)/1000</f>
        <v>43.2</v>
      </c>
      <c r="E59" s="6">
        <v>0</v>
      </c>
      <c r="F59" s="6">
        <f>(5*C59)/100</f>
        <v>7.5</v>
      </c>
      <c r="G59" s="6">
        <f>(136*C59)/100</f>
        <v>204</v>
      </c>
      <c r="H59" s="125"/>
      <c r="I59" s="128"/>
      <c r="J59" s="132"/>
      <c r="K59" s="122"/>
    </row>
    <row r="60" spans="1:11" ht="12" customHeight="1" thickBot="1">
      <c r="A60" s="79"/>
      <c r="B60" s="29" t="s">
        <v>30</v>
      </c>
      <c r="C60" s="6">
        <v>100</v>
      </c>
      <c r="D60" s="6">
        <f>(2*C60)/100</f>
        <v>2</v>
      </c>
      <c r="E60" s="6">
        <v>0</v>
      </c>
      <c r="F60" s="6">
        <f>(2*C60)/100</f>
        <v>2</v>
      </c>
      <c r="G60" s="6">
        <f>(16*C60)/100</f>
        <v>16</v>
      </c>
      <c r="H60" s="125"/>
      <c r="I60" s="128"/>
      <c r="J60" s="132"/>
      <c r="K60" s="122"/>
    </row>
    <row r="61" spans="1:11" ht="12" customHeight="1" thickBot="1">
      <c r="A61" s="79"/>
      <c r="B61" s="32" t="s">
        <v>5</v>
      </c>
      <c r="C61" s="11">
        <v>30</v>
      </c>
      <c r="D61" s="11">
        <v>0</v>
      </c>
      <c r="E61" s="11">
        <f>C61</f>
        <v>30</v>
      </c>
      <c r="F61" s="11">
        <v>0</v>
      </c>
      <c r="G61" s="11">
        <f>9*C61</f>
        <v>270</v>
      </c>
      <c r="H61" s="126"/>
      <c r="I61" s="129"/>
      <c r="J61" s="132"/>
      <c r="K61" s="121"/>
    </row>
    <row r="62" spans="1:11" ht="12" customHeight="1" thickBot="1">
      <c r="A62" s="79" t="s">
        <v>50</v>
      </c>
      <c r="B62" s="29" t="s">
        <v>52</v>
      </c>
      <c r="C62" s="6">
        <v>100</v>
      </c>
      <c r="D62" s="6">
        <f>(152*C62)/1000</f>
        <v>15.2</v>
      </c>
      <c r="E62" s="6">
        <f>(379*C62)/1000</f>
        <v>37.9</v>
      </c>
      <c r="F62" s="6">
        <v>0</v>
      </c>
      <c r="G62" s="6">
        <f>(404*C62)/100</f>
        <v>404</v>
      </c>
      <c r="H62" s="139">
        <f>SUM(C62:C65)</f>
        <v>280</v>
      </c>
      <c r="I62" s="140">
        <f>SUM(G62:G65)</f>
        <v>889</v>
      </c>
      <c r="J62" s="131">
        <f>I62/H62</f>
        <v>3.175</v>
      </c>
      <c r="K62" s="120">
        <v>0</v>
      </c>
    </row>
    <row r="63" spans="1:11" ht="12" customHeight="1" thickBot="1">
      <c r="A63" s="79"/>
      <c r="B63" s="29" t="s">
        <v>20</v>
      </c>
      <c r="C63" s="6">
        <v>50</v>
      </c>
      <c r="D63" s="6">
        <f>(7668*C63)/10000</f>
        <v>38.34</v>
      </c>
      <c r="E63" s="6">
        <f>(348*C63)/10000</f>
        <v>1.74</v>
      </c>
      <c r="F63" s="6">
        <f>(98*C63)/1000</f>
        <v>4.9</v>
      </c>
      <c r="G63" s="6">
        <f>(378*C63)/100</f>
        <v>189</v>
      </c>
      <c r="H63" s="125"/>
      <c r="I63" s="128"/>
      <c r="J63" s="132"/>
      <c r="K63" s="122"/>
    </row>
    <row r="64" spans="1:11" ht="12" customHeight="1" thickBot="1">
      <c r="A64" s="79"/>
      <c r="B64" s="29" t="s">
        <v>53</v>
      </c>
      <c r="C64" s="6">
        <v>100</v>
      </c>
      <c r="D64" s="6">
        <f>(56*C64)/1000</f>
        <v>5.6</v>
      </c>
      <c r="E64" s="6">
        <v>0</v>
      </c>
      <c r="F64" s="6">
        <f>(1*C64)/100</f>
        <v>1</v>
      </c>
      <c r="G64" s="6">
        <f>(26*C64)/100</f>
        <v>26</v>
      </c>
      <c r="H64" s="125"/>
      <c r="I64" s="128"/>
      <c r="J64" s="132"/>
      <c r="K64" s="122"/>
    </row>
    <row r="65" spans="1:11" ht="12" customHeight="1" thickBot="1">
      <c r="A65" s="79"/>
      <c r="B65" s="32" t="s">
        <v>5</v>
      </c>
      <c r="C65" s="6">
        <v>30</v>
      </c>
      <c r="D65" s="6">
        <v>0</v>
      </c>
      <c r="E65" s="6">
        <f>C65</f>
        <v>30</v>
      </c>
      <c r="F65" s="6">
        <v>0</v>
      </c>
      <c r="G65" s="6">
        <f>9*C65</f>
        <v>270</v>
      </c>
      <c r="H65" s="126"/>
      <c r="I65" s="129"/>
      <c r="J65" s="132"/>
      <c r="K65" s="121"/>
    </row>
    <row r="66" spans="1:11" ht="12" customHeight="1" thickBot="1">
      <c r="A66" s="79" t="s">
        <v>51</v>
      </c>
      <c r="B66" s="29" t="s">
        <v>56</v>
      </c>
      <c r="C66" s="5">
        <v>100</v>
      </c>
      <c r="D66" s="5">
        <v>0</v>
      </c>
      <c r="E66" s="5">
        <f>(25*C66)/100</f>
        <v>25</v>
      </c>
      <c r="F66" s="5">
        <f>(224*C66)/1000</f>
        <v>22.4</v>
      </c>
      <c r="G66" s="5">
        <f>(315*C66)/100</f>
        <v>315</v>
      </c>
      <c r="H66" s="139">
        <f>SUM(C66:C71)</f>
        <v>345</v>
      </c>
      <c r="I66" s="140">
        <f>SUM(G66:G71)</f>
        <v>751.405</v>
      </c>
      <c r="J66" s="133">
        <f>I66/H66</f>
        <v>2.1779855072463765</v>
      </c>
      <c r="K66" s="120">
        <v>0</v>
      </c>
    </row>
    <row r="67" spans="1:11" ht="12" customHeight="1" thickBot="1">
      <c r="A67" s="79"/>
      <c r="B67" s="29" t="s">
        <v>24</v>
      </c>
      <c r="C67" s="6">
        <v>50</v>
      </c>
      <c r="D67" s="6">
        <f>(67*C67)/1000</f>
        <v>3.35</v>
      </c>
      <c r="E67" s="6">
        <f>(6*C67)/1000</f>
        <v>0.3</v>
      </c>
      <c r="F67" s="6">
        <f>(19*C67)/1000</f>
        <v>0.95</v>
      </c>
      <c r="G67" s="6">
        <f>(4*C67)/100</f>
        <v>2</v>
      </c>
      <c r="H67" s="125"/>
      <c r="I67" s="128"/>
      <c r="J67" s="130"/>
      <c r="K67" s="122"/>
    </row>
    <row r="68" spans="1:11" ht="12" customHeight="1" thickBot="1">
      <c r="A68" s="79"/>
      <c r="B68" s="29" t="s">
        <v>18</v>
      </c>
      <c r="C68" s="4">
        <v>10</v>
      </c>
      <c r="D68" s="6">
        <f>(75*C68)/100</f>
        <v>7.5</v>
      </c>
      <c r="E68" s="6">
        <v>0</v>
      </c>
      <c r="F68" s="6">
        <f>(2*C68)/100</f>
        <v>0.2</v>
      </c>
      <c r="G68" s="6">
        <f>(3075*C68)/1000</f>
        <v>30.75</v>
      </c>
      <c r="H68" s="125"/>
      <c r="I68" s="128"/>
      <c r="J68" s="130"/>
      <c r="K68" s="122"/>
    </row>
    <row r="69" spans="1:11" ht="12" customHeight="1" thickBot="1">
      <c r="A69" s="79"/>
      <c r="B69" s="29" t="s">
        <v>54</v>
      </c>
      <c r="C69" s="4">
        <v>5</v>
      </c>
      <c r="D69" s="6">
        <f>(139*C69)/1000</f>
        <v>0.695</v>
      </c>
      <c r="E69" s="6">
        <f>(1*C69)/1000</f>
        <v>0.005</v>
      </c>
      <c r="F69" s="6">
        <f>(4*C69)/100</f>
        <v>0.2</v>
      </c>
      <c r="G69" s="6">
        <f>(73*C69)/100</f>
        <v>3.65</v>
      </c>
      <c r="H69" s="125"/>
      <c r="I69" s="128"/>
      <c r="J69" s="130"/>
      <c r="K69" s="122"/>
    </row>
    <row r="70" spans="1:11" ht="12" customHeight="1" thickBot="1">
      <c r="A70" s="79"/>
      <c r="B70" s="29" t="s">
        <v>84</v>
      </c>
      <c r="C70" s="4">
        <v>150</v>
      </c>
      <c r="D70" s="6">
        <f>(1967*C70)/10000</f>
        <v>29.505</v>
      </c>
      <c r="E70" s="6">
        <v>0</v>
      </c>
      <c r="F70" s="6">
        <f>(2*C70)/100</f>
        <v>3</v>
      </c>
      <c r="G70" s="6">
        <f>(8667*C70)/10000</f>
        <v>130.005</v>
      </c>
      <c r="H70" s="125"/>
      <c r="I70" s="128"/>
      <c r="J70" s="130"/>
      <c r="K70" s="122"/>
    </row>
    <row r="71" spans="1:11" ht="12" customHeight="1" thickBot="1">
      <c r="A71" s="79"/>
      <c r="B71" s="32" t="s">
        <v>5</v>
      </c>
      <c r="C71" s="11">
        <v>30</v>
      </c>
      <c r="D71" s="11">
        <v>0</v>
      </c>
      <c r="E71" s="11">
        <f>C71</f>
        <v>30</v>
      </c>
      <c r="F71" s="11">
        <v>0</v>
      </c>
      <c r="G71" s="11">
        <f>9*C71</f>
        <v>270</v>
      </c>
      <c r="H71" s="126"/>
      <c r="I71" s="129"/>
      <c r="J71" s="131"/>
      <c r="K71" s="121"/>
    </row>
    <row r="72" spans="1:11" ht="12" customHeight="1" thickBot="1">
      <c r="A72" s="79" t="s">
        <v>43</v>
      </c>
      <c r="B72" s="29" t="s">
        <v>11</v>
      </c>
      <c r="C72" s="6">
        <v>45</v>
      </c>
      <c r="D72" s="6">
        <f>(6*C72)/10</f>
        <v>27</v>
      </c>
      <c r="E72" s="6">
        <f>(133*C72)/1000</f>
        <v>5.985</v>
      </c>
      <c r="F72" s="6">
        <f>(1*C72)/10</f>
        <v>4.5</v>
      </c>
      <c r="G72" s="6">
        <f>(4*C72)</f>
        <v>180</v>
      </c>
      <c r="H72" s="98"/>
      <c r="I72" s="116"/>
      <c r="J72" s="116"/>
      <c r="K72" s="13">
        <v>0</v>
      </c>
    </row>
    <row r="73" spans="1:11" ht="12" customHeight="1" thickBot="1">
      <c r="A73" s="79"/>
      <c r="B73" s="29" t="s">
        <v>38</v>
      </c>
      <c r="C73" s="4">
        <v>24.4</v>
      </c>
      <c r="D73" s="6">
        <f>(7*C73)/10</f>
        <v>17.08</v>
      </c>
      <c r="E73" s="6">
        <f>(13*C73)/100</f>
        <v>3.1719999999999997</v>
      </c>
      <c r="F73" s="6">
        <f>(1*C73)/10</f>
        <v>2.44</v>
      </c>
      <c r="G73" s="6">
        <f>(435*C73)/100</f>
        <v>106.14</v>
      </c>
      <c r="H73" s="98"/>
      <c r="I73" s="116"/>
      <c r="J73" s="116"/>
      <c r="K73" s="13">
        <v>0</v>
      </c>
    </row>
    <row r="74" spans="1:11" ht="12" customHeight="1" thickBot="1">
      <c r="A74" s="79"/>
      <c r="B74" s="29" t="s">
        <v>15</v>
      </c>
      <c r="C74" s="6">
        <v>2</v>
      </c>
      <c r="D74" s="6">
        <v>0</v>
      </c>
      <c r="E74" s="6">
        <v>0</v>
      </c>
      <c r="F74" s="6">
        <v>0</v>
      </c>
      <c r="G74" s="6">
        <v>0</v>
      </c>
      <c r="H74" s="98"/>
      <c r="I74" s="116"/>
      <c r="J74" s="116"/>
      <c r="K74" s="13">
        <v>0</v>
      </c>
    </row>
    <row r="75" spans="1:11" ht="12" customHeight="1" thickBot="1">
      <c r="A75" s="79"/>
      <c r="B75" s="34" t="s">
        <v>16</v>
      </c>
      <c r="C75" s="6">
        <v>2</v>
      </c>
      <c r="D75" s="6">
        <v>0</v>
      </c>
      <c r="E75" s="6">
        <v>0</v>
      </c>
      <c r="F75" s="6">
        <v>0</v>
      </c>
      <c r="G75" s="6">
        <v>0</v>
      </c>
      <c r="H75" s="98"/>
      <c r="I75" s="116"/>
      <c r="J75" s="116"/>
      <c r="K75" s="13">
        <v>0</v>
      </c>
    </row>
    <row r="76" spans="1:11" ht="12" customHeight="1" thickBot="1">
      <c r="A76" s="67"/>
      <c r="B76" s="29" t="s">
        <v>17</v>
      </c>
      <c r="C76" s="6">
        <v>50</v>
      </c>
      <c r="D76" s="6">
        <f>C76</f>
        <v>50</v>
      </c>
      <c r="E76" s="6">
        <v>0</v>
      </c>
      <c r="F76" s="6">
        <v>0</v>
      </c>
      <c r="G76" s="6">
        <f>C76*4</f>
        <v>200</v>
      </c>
      <c r="H76" s="98"/>
      <c r="I76" s="116"/>
      <c r="J76" s="116"/>
      <c r="K76" s="14">
        <v>0</v>
      </c>
    </row>
    <row r="77" spans="1:11" ht="4.5" customHeight="1" thickBot="1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6"/>
    </row>
    <row r="78" spans="2:7" ht="13.5" thickBot="1">
      <c r="B78" s="43" t="s">
        <v>72</v>
      </c>
      <c r="C78" s="38">
        <f>(SUM(C6:C14))+(SUM(C17:C27)/2)+SUM(C28:C31)+(SUM(C34:C71)/8)+SUM(C72:C76)</f>
        <v>1057.175</v>
      </c>
      <c r="D78" s="46">
        <f>(SUM(D6:D14))+(SUM(D17:D27)/2)+SUM(D28:D31)+(SUM(D34:D71)/8)+SUM(D72:D76)</f>
        <v>446.97275</v>
      </c>
      <c r="E78" s="46">
        <f>(SUM(E6:E14))+(SUM(E17:E27)/2)+SUM(E28:E31)+(SUM(E34:E71)/8)+SUM(E72:E76)</f>
        <v>200.093875</v>
      </c>
      <c r="F78" s="46">
        <f>(SUM(F6:F14))+(SUM(F17:F27)/2)+SUM(F28:F31)+(SUM(F34:F71)/8)+SUM(F72:F76)</f>
        <v>85.453875</v>
      </c>
      <c r="G78" s="38">
        <f>(SUM(G6:G14))+(SUM(G17:G27)/2)+SUM(G28:G31)+(SUM(G34:G71)/8)+SUM(G72:G76)</f>
        <v>3927.551</v>
      </c>
    </row>
    <row r="79" spans="2:7" ht="13.5" thickBot="1">
      <c r="B79" s="50" t="s">
        <v>76</v>
      </c>
      <c r="C79" s="20"/>
      <c r="D79" s="52">
        <f>((D78*4)/G78)</f>
        <v>0.4552177680187985</v>
      </c>
      <c r="E79" s="52">
        <f>((E78*9)/G78)</f>
        <v>0.45851597471299543</v>
      </c>
      <c r="F79" s="52">
        <f>((F78*4)/G78)*1</f>
        <v>0.08703018751379676</v>
      </c>
      <c r="G79" s="53">
        <f>G78/C78</f>
        <v>3.715137985669355</v>
      </c>
    </row>
    <row r="80" spans="2:7" ht="4.5" customHeight="1" thickBot="1">
      <c r="B80" s="104"/>
      <c r="C80" s="105"/>
      <c r="D80" s="105"/>
      <c r="E80" s="105"/>
      <c r="F80" s="105"/>
      <c r="G80" s="106"/>
    </row>
    <row r="81" ht="13.5" thickBot="1">
      <c r="B81" s="44" t="s">
        <v>73</v>
      </c>
    </row>
    <row r="82" spans="2:7" ht="12" customHeight="1" thickBot="1">
      <c r="B82" s="49" t="s">
        <v>74</v>
      </c>
      <c r="C82" s="47">
        <f>SUM(C6:C14)</f>
        <v>221.4</v>
      </c>
      <c r="D82" s="47">
        <f>SUM(D6:D14)</f>
        <v>121.92249999999999</v>
      </c>
      <c r="E82" s="47">
        <f>SUM(E6:E14)</f>
        <v>53.9555</v>
      </c>
      <c r="F82" s="47">
        <f>SUM(F6:F14)</f>
        <v>14.3095</v>
      </c>
      <c r="G82" s="47">
        <f>SUM(G6:G14)</f>
        <v>1029.1895</v>
      </c>
    </row>
    <row r="83" spans="2:7" ht="12" customHeight="1" thickBot="1">
      <c r="B83" s="50" t="s">
        <v>76</v>
      </c>
      <c r="C83" s="48"/>
      <c r="D83" s="52">
        <f>((D82*4)/G82)</f>
        <v>0.47385831277913343</v>
      </c>
      <c r="E83" s="52">
        <f>((E82*9)/G82)</f>
        <v>0.47182710278330675</v>
      </c>
      <c r="F83" s="52">
        <f>((F82*4)/G82)</f>
        <v>0.05561463656595797</v>
      </c>
      <c r="G83" s="53">
        <f>G82/C82</f>
        <v>4.648552393857272</v>
      </c>
    </row>
    <row r="84" spans="2:7" ht="12" customHeight="1" thickBot="1">
      <c r="B84" s="49" t="s">
        <v>75</v>
      </c>
      <c r="C84" s="47">
        <f>SUM(C17:C27)/2+SUM(C28:C31)</f>
        <v>388</v>
      </c>
      <c r="D84" s="47">
        <f>SUM(D17:D27)/2+SUM(D28:D31)</f>
        <v>190.22050000000002</v>
      </c>
      <c r="E84" s="47">
        <f>SUM(E17:E27)/2+SUM(E28:E31)</f>
        <v>96.63</v>
      </c>
      <c r="F84" s="47">
        <f>SUM(F17:F27)/2+SUM(F28:F31)</f>
        <v>37.5225</v>
      </c>
      <c r="G84" s="47">
        <f>SUM(G17:G27)/2+SUM(G28:G31)</f>
        <v>1785.221</v>
      </c>
    </row>
    <row r="85" spans="2:7" ht="12" customHeight="1" thickBot="1">
      <c r="B85" s="50" t="s">
        <v>76</v>
      </c>
      <c r="C85" s="48"/>
      <c r="D85" s="52">
        <f>((D84*4)/G84)</f>
        <v>0.42621165670804906</v>
      </c>
      <c r="E85" s="52">
        <f>((E84*9)/G84)</f>
        <v>0.48714977025253453</v>
      </c>
      <c r="F85" s="52">
        <f>((F84*4)/G84)</f>
        <v>0.08407362449803134</v>
      </c>
      <c r="G85" s="53">
        <f>G84/C84</f>
        <v>4.6010850515463915</v>
      </c>
    </row>
    <row r="86" spans="2:7" ht="12" customHeight="1" thickBot="1">
      <c r="B86" s="49" t="s">
        <v>12</v>
      </c>
      <c r="C86" s="47">
        <f>SUM(C34:C71)/8+SUM(C72:C76)</f>
        <v>447.775</v>
      </c>
      <c r="D86" s="47">
        <f>SUM(D34:D71)/8+SUM(D72:D76)</f>
        <v>134.82975</v>
      </c>
      <c r="E86" s="47">
        <f>SUM(E34:E71)/8+SUM(E72:E76)</f>
        <v>49.508375</v>
      </c>
      <c r="F86" s="47">
        <f>SUM(F34:F71)/8+SUM(F72:F76)</f>
        <v>33.621874999999996</v>
      </c>
      <c r="G86" s="47">
        <f>SUM(G34:G71)/8+SUM(G72:G76)</f>
        <v>1113.1405</v>
      </c>
    </row>
    <row r="87" spans="2:9" ht="13.5" thickBot="1">
      <c r="B87" s="50" t="s">
        <v>76</v>
      </c>
      <c r="C87" s="48"/>
      <c r="D87" s="52">
        <f>((D86*4)/G86)</f>
        <v>0.484502180991528</v>
      </c>
      <c r="E87" s="52">
        <f>((E86*9)/G86)</f>
        <v>0.40028673379506</v>
      </c>
      <c r="F87" s="52">
        <f>((F86*4)/G86)</f>
        <v>0.12081808181446994</v>
      </c>
      <c r="G87" s="53">
        <f>G86/C86</f>
        <v>2.4859371336050473</v>
      </c>
      <c r="I87" s="51"/>
    </row>
    <row r="88" spans="3:7" ht="12.75">
      <c r="C88" s="45"/>
      <c r="D88" s="45"/>
      <c r="E88" s="45"/>
      <c r="F88" s="45"/>
      <c r="G88" s="45"/>
    </row>
  </sheetData>
  <mergeCells count="81">
    <mergeCell ref="A12:A14"/>
    <mergeCell ref="A15:K15"/>
    <mergeCell ref="B80:G80"/>
    <mergeCell ref="A2:B3"/>
    <mergeCell ref="A54:A57"/>
    <mergeCell ref="A77:K77"/>
    <mergeCell ref="A23:A27"/>
    <mergeCell ref="A33:J33"/>
    <mergeCell ref="A34:A38"/>
    <mergeCell ref="H34:H38"/>
    <mergeCell ref="A5:J5"/>
    <mergeCell ref="A6:A11"/>
    <mergeCell ref="H6:H11"/>
    <mergeCell ref="I6:I11"/>
    <mergeCell ref="J6:J11"/>
    <mergeCell ref="I2:I3"/>
    <mergeCell ref="J2:J3"/>
    <mergeCell ref="A4:G4"/>
    <mergeCell ref="H4:J4"/>
    <mergeCell ref="C2:C3"/>
    <mergeCell ref="D2:D3"/>
    <mergeCell ref="E2:E3"/>
    <mergeCell ref="G2:G3"/>
    <mergeCell ref="H2:H3"/>
    <mergeCell ref="F2:F3"/>
    <mergeCell ref="H23:H27"/>
    <mergeCell ref="I23:I27"/>
    <mergeCell ref="J23:J27"/>
    <mergeCell ref="A28:A31"/>
    <mergeCell ref="H28:J31"/>
    <mergeCell ref="H43:H48"/>
    <mergeCell ref="I43:I48"/>
    <mergeCell ref="J43:J48"/>
    <mergeCell ref="A49:A53"/>
    <mergeCell ref="H49:H53"/>
    <mergeCell ref="I49:I53"/>
    <mergeCell ref="J49:J53"/>
    <mergeCell ref="A43:A48"/>
    <mergeCell ref="A58:A61"/>
    <mergeCell ref="H58:H61"/>
    <mergeCell ref="I58:I61"/>
    <mergeCell ref="J58:J61"/>
    <mergeCell ref="K62:K65"/>
    <mergeCell ref="A72:A76"/>
    <mergeCell ref="H72:J76"/>
    <mergeCell ref="A62:A65"/>
    <mergeCell ref="H62:H65"/>
    <mergeCell ref="I62:I65"/>
    <mergeCell ref="J62:J65"/>
    <mergeCell ref="A66:A71"/>
    <mergeCell ref="K66:K71"/>
    <mergeCell ref="K43:K48"/>
    <mergeCell ref="K49:K53"/>
    <mergeCell ref="H66:H71"/>
    <mergeCell ref="I66:I71"/>
    <mergeCell ref="J66:J71"/>
    <mergeCell ref="H54:H57"/>
    <mergeCell ref="I54:I57"/>
    <mergeCell ref="J54:J57"/>
    <mergeCell ref="K54:K57"/>
    <mergeCell ref="K58:K61"/>
    <mergeCell ref="K23:K27"/>
    <mergeCell ref="K34:K38"/>
    <mergeCell ref="K39:K42"/>
    <mergeCell ref="J34:J38"/>
    <mergeCell ref="A32:K32"/>
    <mergeCell ref="I34:I38"/>
    <mergeCell ref="A39:A42"/>
    <mergeCell ref="H39:H42"/>
    <mergeCell ref="I39:I42"/>
    <mergeCell ref="J39:J42"/>
    <mergeCell ref="K2:K3"/>
    <mergeCell ref="A1:K1"/>
    <mergeCell ref="K6:K11"/>
    <mergeCell ref="K17:K22"/>
    <mergeCell ref="H12:J14"/>
    <mergeCell ref="A16:J16"/>
    <mergeCell ref="A17:A22"/>
    <mergeCell ref="H17:H22"/>
    <mergeCell ref="I17:I22"/>
    <mergeCell ref="J17:J2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7" zoomScaleNormal="87" workbookViewId="0" topLeftCell="A1">
      <selection activeCell="F29" sqref="F29"/>
    </sheetView>
  </sheetViews>
  <sheetFormatPr defaultColWidth="11.421875" defaultRowHeight="12.75"/>
  <cols>
    <col min="1" max="1" width="20.7109375" style="1" customWidth="1"/>
    <col min="2" max="12" width="8.7109375" style="0" customWidth="1"/>
    <col min="13" max="13" width="5.7109375" style="0" customWidth="1"/>
    <col min="14" max="15" width="15.7109375" style="0" customWidth="1"/>
  </cols>
  <sheetData>
    <row r="1" spans="1:13" ht="15" customHeight="1" thickBot="1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23" customFormat="1" ht="34.5" customHeight="1" thickBot="1">
      <c r="A2" s="22" t="s">
        <v>58</v>
      </c>
      <c r="B2" s="21" t="s">
        <v>32</v>
      </c>
      <c r="C2" s="21" t="s">
        <v>9</v>
      </c>
      <c r="D2" s="21" t="s">
        <v>55</v>
      </c>
      <c r="E2" s="21" t="s">
        <v>31</v>
      </c>
      <c r="F2" s="21" t="s">
        <v>22</v>
      </c>
      <c r="G2" s="21" t="s">
        <v>25</v>
      </c>
      <c r="H2" s="21" t="s">
        <v>28</v>
      </c>
      <c r="I2" s="21" t="s">
        <v>67</v>
      </c>
      <c r="J2" s="21" t="s">
        <v>57</v>
      </c>
      <c r="K2" s="21" t="s">
        <v>50</v>
      </c>
      <c r="L2" s="21" t="s">
        <v>51</v>
      </c>
      <c r="M2" s="58" t="s">
        <v>86</v>
      </c>
    </row>
    <row r="3" spans="1:12" s="23" customFormat="1" ht="15" customHeight="1" thickBot="1">
      <c r="A3" s="63" t="s">
        <v>59</v>
      </c>
      <c r="B3" s="64">
        <v>100</v>
      </c>
      <c r="C3" s="64">
        <v>100</v>
      </c>
      <c r="D3" s="64">
        <v>100</v>
      </c>
      <c r="E3" s="64">
        <v>100</v>
      </c>
      <c r="F3" s="64">
        <v>100</v>
      </c>
      <c r="G3" s="64">
        <v>100</v>
      </c>
      <c r="H3" s="64">
        <v>100</v>
      </c>
      <c r="I3" s="64">
        <v>100</v>
      </c>
      <c r="J3" s="64">
        <v>100</v>
      </c>
      <c r="K3" s="64">
        <v>100</v>
      </c>
      <c r="L3" s="64">
        <v>100</v>
      </c>
    </row>
    <row r="4" spans="1:13" s="24" customFormat="1" ht="4.5" customHeight="1" thickBo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3" ht="15" customHeight="1" thickBot="1">
      <c r="A5" s="65" t="s">
        <v>87</v>
      </c>
      <c r="B5" s="66"/>
      <c r="C5" s="69"/>
      <c r="D5" s="69"/>
      <c r="E5" s="69"/>
      <c r="F5" s="69"/>
      <c r="G5" s="69"/>
      <c r="H5" s="69"/>
      <c r="I5" s="69"/>
      <c r="J5" s="69"/>
      <c r="K5" s="69"/>
      <c r="L5" s="70"/>
      <c r="M5" s="27">
        <f aca="true" t="shared" si="0" ref="M5:M13">SUM(B5:L5)</f>
        <v>0</v>
      </c>
    </row>
    <row r="6" spans="1:13" ht="15" customHeight="1" thickBot="1">
      <c r="A6" s="25" t="s">
        <v>88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27">
        <f t="shared" si="0"/>
        <v>0</v>
      </c>
    </row>
    <row r="7" spans="1:13" ht="15" customHeight="1" thickBot="1">
      <c r="A7" s="25" t="s">
        <v>89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  <c r="M7" s="27">
        <f t="shared" si="0"/>
        <v>0</v>
      </c>
    </row>
    <row r="8" spans="1:13" ht="15" customHeight="1" thickBot="1">
      <c r="A8" s="25" t="s">
        <v>90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M8" s="27">
        <f t="shared" si="0"/>
        <v>0</v>
      </c>
    </row>
    <row r="9" spans="1:13" ht="15" customHeight="1" thickBot="1">
      <c r="A9" s="25" t="s">
        <v>91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M9" s="27">
        <f t="shared" si="0"/>
        <v>0</v>
      </c>
    </row>
    <row r="10" spans="1:13" ht="15" customHeight="1" thickBot="1">
      <c r="A10" s="25" t="s">
        <v>92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27">
        <f t="shared" si="0"/>
        <v>0</v>
      </c>
    </row>
    <row r="11" spans="1:13" ht="15" customHeight="1" thickBot="1">
      <c r="A11" s="25" t="s">
        <v>93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7">
        <f t="shared" si="0"/>
        <v>0</v>
      </c>
    </row>
    <row r="12" spans="1:13" ht="15" customHeight="1" thickBot="1">
      <c r="A12" s="25" t="s">
        <v>94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27">
        <f t="shared" si="0"/>
        <v>0</v>
      </c>
    </row>
    <row r="13" spans="1:13" ht="15" customHeight="1" thickBot="1">
      <c r="A13" s="59" t="s">
        <v>95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27">
        <f t="shared" si="0"/>
        <v>0</v>
      </c>
    </row>
    <row r="14" spans="1:13" ht="4.5" customHeight="1" thickBo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</row>
    <row r="15" spans="1:13" ht="15" customHeight="1" thickBot="1">
      <c r="A15" s="15" t="s">
        <v>60</v>
      </c>
      <c r="B15" s="41">
        <f aca="true" t="shared" si="1" ref="B15:M15">SUM(B5:B13)</f>
        <v>0</v>
      </c>
      <c r="C15" s="41">
        <f t="shared" si="1"/>
        <v>0</v>
      </c>
      <c r="D15" s="41">
        <f t="shared" si="1"/>
        <v>0</v>
      </c>
      <c r="E15" s="41">
        <f t="shared" si="1"/>
        <v>0</v>
      </c>
      <c r="F15" s="41">
        <f t="shared" si="1"/>
        <v>0</v>
      </c>
      <c r="G15" s="41">
        <f t="shared" si="1"/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41">
        <f t="shared" si="1"/>
        <v>0</v>
      </c>
      <c r="L15" s="41">
        <f t="shared" si="1"/>
        <v>0</v>
      </c>
      <c r="M15" s="75">
        <f t="shared" si="1"/>
        <v>0</v>
      </c>
    </row>
    <row r="16" spans="1:13" ht="4.5" customHeight="1" thickBo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</row>
    <row r="17" spans="1:5" ht="15" customHeight="1" thickBot="1">
      <c r="A17" s="76" t="s">
        <v>85</v>
      </c>
      <c r="B17" s="65">
        <v>2500</v>
      </c>
      <c r="C17" s="147" t="s">
        <v>62</v>
      </c>
      <c r="D17" s="148"/>
      <c r="E17" s="26">
        <v>300</v>
      </c>
    </row>
    <row r="18" spans="1:6" ht="15" customHeight="1" thickBot="1">
      <c r="A18" s="77"/>
      <c r="B18" s="26"/>
      <c r="C18" s="149"/>
      <c r="D18" s="150"/>
      <c r="E18" s="71"/>
      <c r="F18" s="72"/>
    </row>
    <row r="19" spans="1:13" ht="4.5" customHeight="1" thickBot="1">
      <c r="A19" s="55"/>
      <c r="B19" s="56"/>
      <c r="C19" s="56"/>
      <c r="D19" s="57"/>
      <c r="E19" s="73"/>
      <c r="F19" s="74"/>
      <c r="G19" s="74"/>
      <c r="H19" s="74"/>
      <c r="I19" s="74"/>
      <c r="J19" s="74"/>
      <c r="K19" s="74"/>
      <c r="L19" s="74"/>
      <c r="M19" s="74"/>
    </row>
    <row r="20" spans="1:4" ht="15" customHeight="1" thickBot="1">
      <c r="A20" s="38" t="s">
        <v>61</v>
      </c>
      <c r="C20" s="42" t="s">
        <v>83</v>
      </c>
      <c r="D20" s="42" t="s">
        <v>82</v>
      </c>
    </row>
    <row r="21" spans="1:4" ht="13.5" thickBot="1">
      <c r="A21" s="13" t="str">
        <f aca="true" t="shared" si="2" ref="A21:A29">A5</f>
        <v>Thierry</v>
      </c>
      <c r="C21" s="54">
        <f>(B5*$B3)+(C5*$C3)+(D5*$D3)+(E5*$E3)+(F5*$F3)+(G5*$G3)+(H5*$H3)+(I5*$I3)+(J5*$J3)+(K5*$K3)+(L5*$L3)+E17</f>
        <v>300</v>
      </c>
      <c r="D21" s="27"/>
    </row>
    <row r="22" spans="1:4" ht="13.5" thickBot="1">
      <c r="A22" s="13" t="str">
        <f t="shared" si="2"/>
        <v>Véronique</v>
      </c>
      <c r="C22" s="54">
        <f>(B6*$B3)+(C6*$C3)+(D6*$D3)+(E6*$E3)+(F6*$F3)+(G6*$G3)+(H6*$H3)+(I6*$I3)+(J6*$J3)+(K6*$K3)+(L6*$L3)+E17</f>
        <v>300</v>
      </c>
      <c r="D22" s="27"/>
    </row>
    <row r="23" spans="1:4" ht="13.5" thickBot="1">
      <c r="A23" s="13" t="str">
        <f t="shared" si="2"/>
        <v>Olivier</v>
      </c>
      <c r="C23" s="54">
        <f>(B7*$B3)+(C7*$C3)+(D7*$D3)+(E7*$E3)+(F7*$F3)+(G7*$G3)+(H7*$H3)+(I7*$I3)+(J7*$J3)+(K7*$K3)+(L7*$L3)+E17</f>
        <v>300</v>
      </c>
      <c r="D23" s="27"/>
    </row>
    <row r="24" spans="1:4" ht="13.5" thickBot="1">
      <c r="A24" s="13" t="str">
        <f t="shared" si="2"/>
        <v>Anne</v>
      </c>
      <c r="C24" s="54">
        <f>(B8*$B3)+(C8*$C3)+(D8*$D3)+(E8*$E3)+(F8*$F3)+(G8*$G3)+(H8*$H3)+(I8*$I3)+(J8*$J3)+(K8*$K3)+(L8*$L3)+E17</f>
        <v>300</v>
      </c>
      <c r="D24" s="27"/>
    </row>
    <row r="25" spans="1:4" ht="13.5" thickBot="1">
      <c r="A25" s="13" t="str">
        <f t="shared" si="2"/>
        <v>Jacques</v>
      </c>
      <c r="C25" s="54">
        <f>(B9*$B7)+(C9*$C7)+(D9*$D7)+(E9*$E7)+(F9*$F7)+(G9*$G7)+(H9*$H7)+(I9*$I7)+(J9*$J7)+(K9*$K7)+(L9*$L7)+E17</f>
        <v>300</v>
      </c>
      <c r="D25" s="27"/>
    </row>
    <row r="26" spans="1:4" ht="13.5" thickBot="1">
      <c r="A26" s="13" t="str">
        <f t="shared" si="2"/>
        <v>Martine</v>
      </c>
      <c r="C26" s="54">
        <f>(B10*$B7)+(C10*$C7)+(D10*$D7)+(E10*$E7)+(F10*$F7)+(G10*$G7)+(H10*$H7)+(I10*$I7)+(J10*$J7)+(K10*$K7)+(L10*$L7)+E17</f>
        <v>300</v>
      </c>
      <c r="D26" s="27"/>
    </row>
    <row r="27" spans="1:4" ht="13.5" thickBot="1">
      <c r="A27" s="13" t="str">
        <f t="shared" si="2"/>
        <v>Christian</v>
      </c>
      <c r="C27" s="54">
        <f>(B11*$B7)+(C11*$C7)+(D11*$D7)+(E11*$E7)+(F11*$F7)+(G11*$G7)+(H11*$H7)+(I11*$I7)+(J11*$J7)+(K11*$K7)+(L11*$L7)+E17</f>
        <v>300</v>
      </c>
      <c r="D27" s="27"/>
    </row>
    <row r="28" spans="1:4" ht="13.5" thickBot="1">
      <c r="A28" s="13" t="str">
        <f t="shared" si="2"/>
        <v>Emile</v>
      </c>
      <c r="C28" s="54">
        <f>(B12*$B7)+(C12*$C7)+(D12*$D7)+(E12*$E7)+(F12*$F7)+(G12*$G7)+(H12*$H7)+(I12*$I7)+(J12*$J7)+(K12*$K7)+(L12*$L7)+E17</f>
        <v>300</v>
      </c>
      <c r="D28" s="27"/>
    </row>
    <row r="29" spans="1:4" ht="13.5" thickBot="1">
      <c r="A29" s="13" t="str">
        <f t="shared" si="2"/>
        <v>Bérangère</v>
      </c>
      <c r="C29" s="54">
        <f>(B13*$B11)+(C13*$C11)+(D13*$D11)+(E13*$E11)+(F13*$F11)+(G13*$G11)+(H13*$H11)+(I13*$I11)+(J13*$J11)+(K13*$K11)+(L13*$L11)+E17</f>
        <v>300</v>
      </c>
      <c r="D29" s="27"/>
    </row>
  </sheetData>
  <mergeCells count="6">
    <mergeCell ref="A16:M16"/>
    <mergeCell ref="C17:D18"/>
    <mergeCell ref="A17:A18"/>
    <mergeCell ref="A1:M1"/>
    <mergeCell ref="A4:M4"/>
    <mergeCell ref="A14:M14"/>
  </mergeCells>
  <printOptions horizontalCentered="1" verticalCentered="1"/>
  <pageMargins left="0" right="0" top="1" bottom="1" header="0.4921259845" footer="0.492125984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="97" zoomScaleNormal="97" workbookViewId="0" topLeftCell="A1">
      <selection activeCell="A33" sqref="A33"/>
    </sheetView>
  </sheetViews>
  <sheetFormatPr defaultColWidth="11.421875" defaultRowHeight="12.75"/>
  <cols>
    <col min="1" max="1" width="25.7109375" style="0" customWidth="1"/>
    <col min="2" max="2" width="10.7109375" style="0" customWidth="1"/>
    <col min="3" max="3" width="25.7109375" style="0" customWidth="1"/>
    <col min="4" max="4" width="10.7109375" style="0" customWidth="1"/>
  </cols>
  <sheetData>
    <row r="1" spans="1:4" ht="13.5" thickBot="1">
      <c r="A1" s="81" t="s">
        <v>71</v>
      </c>
      <c r="B1" s="82"/>
      <c r="C1" s="82"/>
      <c r="D1" s="83"/>
    </row>
    <row r="2" spans="1:4" ht="13.5" thickBot="1">
      <c r="A2" s="81" t="s">
        <v>70</v>
      </c>
      <c r="B2" s="83"/>
      <c r="C2" s="151" t="s">
        <v>81</v>
      </c>
      <c r="D2" s="152"/>
    </row>
    <row r="3" spans="1:4" ht="12.75">
      <c r="A3" s="16" t="s">
        <v>27</v>
      </c>
      <c r="B3" s="14">
        <f>((RAJ!C52)*(GROUPE!H15))*2</f>
        <v>0</v>
      </c>
      <c r="C3" s="16" t="s">
        <v>78</v>
      </c>
      <c r="D3" s="40">
        <f>((TVM!C75*TVM!K75)+(VB!C75*VB!K75))/2</f>
        <v>24</v>
      </c>
    </row>
    <row r="4" spans="1:4" ht="12.75">
      <c r="A4" s="9" t="s">
        <v>37</v>
      </c>
      <c r="B4" s="15">
        <f>RAJ!C37*GROUPE!E15</f>
        <v>0</v>
      </c>
      <c r="C4" s="17" t="s">
        <v>35</v>
      </c>
      <c r="D4" s="41">
        <f>(TVM!C12*TVM!K12)+(VB!C12*VB!K12)</f>
        <v>720</v>
      </c>
    </row>
    <row r="5" spans="1:4" ht="12.75">
      <c r="A5" s="9" t="s">
        <v>13</v>
      </c>
      <c r="B5" s="15">
        <f>(RAJ!C6*GROUPE!B15)+(RAJ!C18*GROUPE!C15)+(RAJ!C23*GROUPE!D15)</f>
        <v>0</v>
      </c>
      <c r="C5" s="9" t="s">
        <v>6</v>
      </c>
      <c r="D5" s="41">
        <f>(TVM!C31*TVM!K31)+(VB!C31*VB!K31)</f>
        <v>2208</v>
      </c>
    </row>
    <row r="6" spans="1:4" ht="12.75">
      <c r="A6" s="9" t="s">
        <v>21</v>
      </c>
      <c r="B6" s="15">
        <f>(RAJ!C41*GROUPE!F15)*2</f>
        <v>0</v>
      </c>
      <c r="C6" s="9" t="s">
        <v>33</v>
      </c>
      <c r="D6" s="41">
        <f>(TVM!C28*TVM!K28)+(VB!C28*VB!K28)</f>
        <v>1200</v>
      </c>
    </row>
    <row r="7" spans="1:4" ht="12.75">
      <c r="A7" s="9" t="s">
        <v>8</v>
      </c>
      <c r="B7" s="15">
        <f>RAJ!C17*GROUPE!C15</f>
        <v>0</v>
      </c>
      <c r="C7" s="17" t="s">
        <v>46</v>
      </c>
      <c r="D7" s="41">
        <f>((TVM!C13*TVM!K13)+(TVM!C30*TVM!K30)+(TVM!C73*TVM!K73)+(VB!C13*VB!K13)+(VB!C30*VB!K30)+(VB!C73*VB!K73))/109.8</f>
        <v>24</v>
      </c>
    </row>
    <row r="8" spans="1:4" ht="12.75">
      <c r="A8" s="9" t="s">
        <v>3</v>
      </c>
      <c r="B8" s="15">
        <f>RAJ!C7*GROUPE!B15</f>
        <v>0</v>
      </c>
      <c r="C8" s="9" t="s">
        <v>34</v>
      </c>
      <c r="D8" s="41">
        <f>(TVM!C29*TVM!K29)+(VB!C29*VB!K29)</f>
        <v>1200</v>
      </c>
    </row>
    <row r="9" spans="1:4" ht="12.75">
      <c r="A9" s="9" t="s">
        <v>54</v>
      </c>
      <c r="B9" s="15">
        <f>(RAJ!C47*GROUPE!G15)+(RAJ!C69*GROUPE!L15)</f>
        <v>0</v>
      </c>
      <c r="C9" s="9" t="s">
        <v>47</v>
      </c>
      <c r="D9" s="41">
        <f>((TVM!C72*TVM!K72)+(VB!C72*VB!K72))/15</f>
        <v>60</v>
      </c>
    </row>
    <row r="10" spans="1:4" ht="12.75">
      <c r="A10" s="9" t="s">
        <v>30</v>
      </c>
      <c r="B10" s="15">
        <f>(RAJ!C56*GROUPE!I15)+(RAJ!C60*GROUPE!J15)</f>
        <v>0</v>
      </c>
      <c r="C10" s="9" t="s">
        <v>17</v>
      </c>
      <c r="D10" s="41">
        <f>(TVM!C76*TVM!K76)+(TVM!C76*TVM!K76)</f>
        <v>1200</v>
      </c>
    </row>
    <row r="11" spans="1:4" ht="13.5" thickBot="1">
      <c r="A11" s="9" t="s">
        <v>29</v>
      </c>
      <c r="B11" s="15">
        <f>((RAJ!C54*GROUPE!I15)+(RAJ!C58*GROUPE!J15))*2</f>
        <v>0</v>
      </c>
      <c r="C11" s="19" t="s">
        <v>48</v>
      </c>
      <c r="D11" s="42">
        <f>(((TVM!C14*TVM!K14)+(TVM!C74*TVM!K74))+((VB!C14*VB!K14)+(VB!C74*VB!K74)))/2</f>
        <v>72</v>
      </c>
    </row>
    <row r="12" spans="1:2" ht="12.75">
      <c r="A12" s="9" t="s">
        <v>19</v>
      </c>
      <c r="B12" s="15">
        <f>((RAJ!C34*GROUPE!E15)+(RAJ!C39*GROUPE!F15)+(GROUPE!G15)+(RAJ!C49*GROUPE!H15))*1.5</f>
        <v>0</v>
      </c>
    </row>
    <row r="13" spans="1:2" ht="12.75">
      <c r="A13" s="9" t="s">
        <v>56</v>
      </c>
      <c r="B13" s="15">
        <f>(RAJ!C66*GROUPE!L15)*1.5</f>
        <v>0</v>
      </c>
    </row>
    <row r="14" spans="1:2" ht="12.75">
      <c r="A14" s="9" t="s">
        <v>49</v>
      </c>
      <c r="B14" s="15">
        <f>(RAJ!C8*GROUPE!B15)+(RAJ!C20*GROUPE!C15)</f>
        <v>0</v>
      </c>
    </row>
    <row r="15" spans="1:2" ht="12.75">
      <c r="A15" s="9" t="s">
        <v>52</v>
      </c>
      <c r="B15" s="15">
        <f>(RAJ!C62*GROUPE!K15)*1.5</f>
        <v>0</v>
      </c>
    </row>
    <row r="16" spans="1:2" ht="12.75">
      <c r="A16" s="9" t="s">
        <v>24</v>
      </c>
      <c r="B16" s="15">
        <f>(RAJ!C45*GROUPE!G15)+(RAJ!C67*GROUPE!L15)</f>
        <v>0</v>
      </c>
    </row>
    <row r="17" spans="1:2" ht="12.75">
      <c r="A17" s="9" t="s">
        <v>14</v>
      </c>
      <c r="B17" s="15">
        <f>(RAJ!C19*GROUPE!C15)+(RAJ!C24*GROUPE!D15)</f>
        <v>0</v>
      </c>
    </row>
    <row r="18" spans="1:2" ht="12.75">
      <c r="A18" s="17" t="s">
        <v>5</v>
      </c>
      <c r="B18" s="18">
        <f>(RAJ!C11*GROUPE!B15)+(RAJ!C22*GROUPE!C15)+(RAJ!C27*GROUPE!D15)+(RAJ!C38*GROUPE!E15)+(RAJ!C42*GROUPE!F15)+(RAJ!C48*GROUPE!G15)+(RAJ!C53*GROUPE!H15)+(RAJ!C57*GROUPE!I15)+(RAJ!C61*GROUPE!J15)+(RAJ!C65*GROUPE!K15)+(RAJ!C71*GROUPE!L15)</f>
        <v>0</v>
      </c>
    </row>
    <row r="19" spans="1:2" ht="12.75">
      <c r="A19" s="9" t="s">
        <v>10</v>
      </c>
      <c r="B19" s="15">
        <f>(RAJ!C36*GROUPE!E15)+(RAJ!C51*GROUPE!H15)</f>
        <v>0</v>
      </c>
    </row>
    <row r="20" spans="1:2" ht="12.75">
      <c r="A20" s="9" t="s">
        <v>26</v>
      </c>
      <c r="B20" s="15">
        <f>((RAJ!C50*GROUPE!H15)+(RAJ!C59*GROUPE!J15))/2</f>
        <v>0</v>
      </c>
    </row>
    <row r="21" spans="1:2" ht="12.75">
      <c r="A21" s="9" t="s">
        <v>53</v>
      </c>
      <c r="B21" s="15">
        <f>(RAJ!C64*GROUPE!K15)*1.5</f>
        <v>0</v>
      </c>
    </row>
    <row r="22" spans="1:2" ht="12.75">
      <c r="A22" s="9" t="s">
        <v>20</v>
      </c>
      <c r="B22" s="15">
        <f>(RAJ!C35*GROUPE!E15)+(RAJ!C40*GROUPE!F15)+(RAJ!C55*GROUPE!I15)+(RAJ!C63*GROUPE!K15)</f>
        <v>0</v>
      </c>
    </row>
    <row r="23" spans="1:2" ht="12.75">
      <c r="A23" s="9" t="s">
        <v>84</v>
      </c>
      <c r="B23" s="15">
        <f>(RAJ!C70*GROUPE!L15)/2</f>
        <v>0</v>
      </c>
    </row>
    <row r="24" spans="1:2" ht="12.75">
      <c r="A24" s="9" t="s">
        <v>18</v>
      </c>
      <c r="B24" s="15">
        <f>(RAJ!C10*GROUPE!B15)+(RAJ!C26*GROUPE!D15)+(RAJ!C46*GROUPE!G15)+(RAJ!C68*GROUPE!L15)</f>
        <v>0</v>
      </c>
    </row>
    <row r="25" spans="1:2" ht="12.75">
      <c r="A25" s="9" t="s">
        <v>23</v>
      </c>
      <c r="B25" s="15">
        <f>RAJ!C44*GROUPE!G15</f>
        <v>0</v>
      </c>
    </row>
    <row r="26" spans="1:2" ht="12.75">
      <c r="A26" s="9" t="s">
        <v>7</v>
      </c>
      <c r="B26" s="15">
        <f>(RAJ!C21*GROUPE!C15)+(RAJ!C25*GROUPE!D15)</f>
        <v>0</v>
      </c>
    </row>
    <row r="27" spans="1:2" ht="13.5" thickBot="1">
      <c r="A27" s="19" t="s">
        <v>4</v>
      </c>
      <c r="B27" s="38">
        <f>(RAJ!C9*GROUPE!B15)</f>
        <v>0</v>
      </c>
    </row>
  </sheetData>
  <mergeCells count="3">
    <mergeCell ref="A2:B2"/>
    <mergeCell ref="C2:D2"/>
    <mergeCell ref="A1:D1"/>
  </mergeCells>
  <printOptions horizontalCentered="1" verticalCentered="1"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Kiné Podo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MEERHAEGHE</dc:creator>
  <cp:keywords/>
  <dc:description/>
  <cp:lastModifiedBy> </cp:lastModifiedBy>
  <cp:lastPrinted>2004-03-06T17:46:30Z</cp:lastPrinted>
  <dcterms:created xsi:type="dcterms:W3CDTF">1999-01-14T21:49:23Z</dcterms:created>
  <dcterms:modified xsi:type="dcterms:W3CDTF">2004-03-06T17:46:36Z</dcterms:modified>
  <cp:category/>
  <cp:version/>
  <cp:contentType/>
  <cp:contentStatus/>
</cp:coreProperties>
</file>